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pev\Desktop\"/>
    </mc:Choice>
  </mc:AlternateContent>
  <xr:revisionPtr revIDLastSave="0" documentId="13_ncr:1_{0265B87E-E684-440A-9205-826B6326776F}" xr6:coauthVersionLast="47" xr6:coauthVersionMax="47" xr10:uidLastSave="{00000000-0000-0000-0000-000000000000}"/>
  <bookViews>
    <workbookView xWindow="-108" yWindow="-108" windowWidth="23256" windowHeight="12456" xr2:uid="{B031C3B4-2701-45DE-9484-189E4BE1D524}"/>
  </bookViews>
  <sheets>
    <sheet name="P1" sheetId="1" r:id="rId1"/>
    <sheet name="P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2" l="1"/>
  <c r="C72" i="2"/>
  <c r="C37" i="2"/>
  <c r="C38" i="2" s="1"/>
  <c r="C39" i="2" s="1"/>
  <c r="C32" i="2"/>
  <c r="C101" i="2" s="1"/>
  <c r="C48" i="1"/>
  <c r="C23" i="1"/>
  <c r="C103" i="2" l="1"/>
  <c r="C52" i="2"/>
  <c r="C57" i="2" s="1"/>
  <c r="C52" i="1"/>
  <c r="C57" i="1" s="1"/>
  <c r="D71" i="1"/>
  <c r="C75" i="1" s="1"/>
  <c r="C79" i="1" s="1"/>
  <c r="C108" i="1"/>
  <c r="C112" i="1" s="1"/>
  <c r="C116" i="1" s="1"/>
  <c r="C118" i="1" s="1"/>
  <c r="D124" i="1" s="1"/>
  <c r="C83" i="2" l="1"/>
  <c r="C53" i="2"/>
  <c r="C58" i="2" s="1"/>
  <c r="C62" i="2" s="1"/>
  <c r="C70" i="2" s="1"/>
</calcChain>
</file>

<file path=xl/sharedStrings.xml><?xml version="1.0" encoding="utf-8"?>
<sst xmlns="http://schemas.openxmlformats.org/spreadsheetml/2006/main" count="92" uniqueCount="85">
  <si>
    <t>Datos</t>
  </si>
  <si>
    <t>T (Meses)</t>
  </si>
  <si>
    <t>Precio Spot</t>
  </si>
  <si>
    <t>Tasa Libre</t>
  </si>
  <si>
    <t xml:space="preserve">Costo </t>
  </si>
  <si>
    <t>Conveniencia</t>
  </si>
  <si>
    <t>Previo a calcular el precio forward, es importante notar que tenemos un costo y un ingreso con respecto al precio. Luego, la fórmula a usar será:</t>
  </si>
  <si>
    <t>Luego, r será la tasa libre de riesgo, u el costo proporcional e y la tasa de conveniencia.</t>
  </si>
  <si>
    <t>F_0</t>
  </si>
  <si>
    <t>Asignación de puntajes:
* Por identificar la fórmula a utilizar: 3 Puntos
* Por  llegar al resultado Final: 4 Puntos</t>
  </si>
  <si>
    <t>Datos 3 meses</t>
  </si>
  <si>
    <t>T(Meses)</t>
  </si>
  <si>
    <t>Luego, para calcular el beneficio o pérdida, utilizaremos la fórmula de valor. En este caso, desde la perspectiva del vendedor</t>
  </si>
  <si>
    <t>En este caso, buscamos f_3</t>
  </si>
  <si>
    <t>Para ello necesitamos F_3</t>
  </si>
  <si>
    <t xml:space="preserve">F_3 </t>
  </si>
  <si>
    <t>Luego, f_3 será:</t>
  </si>
  <si>
    <t>f_3</t>
  </si>
  <si>
    <t>Finalmente, como el contrato fue suscrito por 10.000 toneladas, la pérdida total de AGRIA será:</t>
  </si>
  <si>
    <t>Pérdida</t>
  </si>
  <si>
    <t>Cantidad</t>
  </si>
  <si>
    <t>Asignación de puntajes:
* Por calcular F_3: 3 Puntos
* Por calcular f_3: 3 Puntos
* Por calcular la pérdida total: 2 Puntos</t>
  </si>
  <si>
    <t>Es Notable considerar que el desarrollo de este inciso debería llevarse a cabo usando la misma fórmula que el inciso anterior. No obstante, la parte de la exponencial se reduce a 1, ya que (T-t) = (6-6)=0. Con ello EXP(0)=1</t>
  </si>
  <si>
    <t>Finalmente, la pérdida en ese momento será:</t>
  </si>
  <si>
    <t>Precio Spot (6 meses)</t>
  </si>
  <si>
    <t>Precio Strike</t>
  </si>
  <si>
    <t xml:space="preserve">Luego </t>
  </si>
  <si>
    <t>Y la pérdida total será:</t>
  </si>
  <si>
    <t>Pérdida total</t>
  </si>
  <si>
    <t>Para saber la conveniencia de la opción, debemos hacer una comparación entre el valor económico del trato propuesto y la no realización de este mismo. Este análisis podríamos hacerlo tanto por la totalidad de toneladas, como por solo una tonelada. En este caso, lo haremos por 1 y al final se multiplicará por las 1000 toneladas.</t>
  </si>
  <si>
    <t>Ingreso Hoy</t>
  </si>
  <si>
    <t>Ingreso en 6 meses</t>
  </si>
  <si>
    <t>0,5*S_6</t>
  </si>
  <si>
    <t>Luego, podemos asumir que, bajo las expectativas del mercado, el precio Spot del trigo en T=6 será igual a su precio forward en T=0, F_0. Sin embargo, sigo valor deberemos traerlo a valor presente. Por lo tanto, la secuencia de cálculos será:
1) Calculamoss F_0
2) Lo traemos a valor presente</t>
  </si>
  <si>
    <t>Notar que es el mismo valor calculado en a)</t>
  </si>
  <si>
    <t>Luego, el pago será la mitad de ese precio.</t>
  </si>
  <si>
    <t>Pago</t>
  </si>
  <si>
    <t>Finalmente, dado que la evaluación se está haciendo en el presente, debemos traer estos valores a hoy.</t>
  </si>
  <si>
    <t>VP Pago</t>
  </si>
  <si>
    <t>Trato total</t>
  </si>
  <si>
    <t>El trato total será la suma de Ingreso Hoy con el VP de los flujos</t>
  </si>
  <si>
    <t>Beneficio del trato</t>
  </si>
  <si>
    <t>Finalmente, la comparación del trato debemos hacerla con respecto al precio Spot hoy (220). 
Esto es: la diferencia entre tener el trato y no tenerlo</t>
  </si>
  <si>
    <t>Finalmente, podemos concluir que el trato no es beneficioso para AGRIA, pues tendrá una pérdida de $4,31 por cada tonelada, resultando en una pérdida final de 4310 dólares aproximadamente.</t>
  </si>
  <si>
    <t>t = 0</t>
  </si>
  <si>
    <t>t=T</t>
  </si>
  <si>
    <t>sigma</t>
  </si>
  <si>
    <t>retorno esperado</t>
  </si>
  <si>
    <t>Precio Call</t>
  </si>
  <si>
    <t>Precio Put</t>
  </si>
  <si>
    <t xml:space="preserve">Dividendo </t>
  </si>
  <si>
    <t>Tasa libre de riesgo</t>
  </si>
  <si>
    <t>Strike</t>
  </si>
  <si>
    <t>Es sabido que Black&amp;Scholes permite calcular el valor de las Call. La fórmula respectiva es:</t>
  </si>
  <si>
    <t>Recordemos que Black&amp;Scholes requiere tasas en formato continuo. Luego, dado que conocemos rf, debemos transformarla.</t>
  </si>
  <si>
    <t>rc</t>
  </si>
  <si>
    <t>Al mismo tiempo, dado que tenemos las fechas de inicio y término, podemos calcular el plazo entre esos días para conocer T</t>
  </si>
  <si>
    <t>T (Días)</t>
  </si>
  <si>
    <t>T(Años)</t>
  </si>
  <si>
    <t>Finalmente, falta calcular d1 y d2</t>
  </si>
  <si>
    <t>d1</t>
  </si>
  <si>
    <t>d2</t>
  </si>
  <si>
    <t>Mientras que, las acumuladas serán:</t>
  </si>
  <si>
    <t>N(d1)</t>
  </si>
  <si>
    <t>N(d2)</t>
  </si>
  <si>
    <t>Finalmente, el valor de la Call será:</t>
  </si>
  <si>
    <t>Call</t>
  </si>
  <si>
    <t>Dado que el precio teórico de la Call es:</t>
  </si>
  <si>
    <t>Call teórico</t>
  </si>
  <si>
    <t>Call Mercado</t>
  </si>
  <si>
    <t>Como se vio en clases, el delta de la call es N(d1). El cual ya fue calculado en el inciso a)</t>
  </si>
  <si>
    <t>La expresión de la Put Call Parity es:</t>
  </si>
  <si>
    <t>Para verificar la expresión,  calcularemos ambos lados de la expresión por separado y luego, se compararan</t>
  </si>
  <si>
    <t>P+S</t>
  </si>
  <si>
    <t>C+PV(K)</t>
  </si>
  <si>
    <t>Es importante mencionar que tanto para P como para C se deben usar los valores de mercado</t>
  </si>
  <si>
    <t>Son iguales?</t>
  </si>
  <si>
    <t xml:space="preserve">Dicho esto, se concluye que no se cumple la Put Call Parity entonces existen oportunidades de arbitraje dentro de la opción </t>
  </si>
  <si>
    <t>Asignación de puntajes:
* Por calcular pérdida de 1 tonelada: 3 Puntos
* Por calcular pérdida total: 4 Puntos</t>
  </si>
  <si>
    <t>Asignación de puntajes:
* Por calcular el pago de 107,55: 2 Puntos
* Por calcular el valor presente del pago: 2 Puntos
* Por el trato total: 2 Puntos
* Por concluir la NO conveniencia del trato: 2 Puntos</t>
  </si>
  <si>
    <t xml:space="preserve">Asignación de puntajes:
* Por N(d1): Todo o nada (7 Puntos)
</t>
  </si>
  <si>
    <t>Asignación de puntajes:
* Por pasar la tasa a continua: 2 Puntos
* Por calcular d1 y d2: 2 Puntos
* Por calcular N(d1) y N(d2): 2 Puntos
* Por usar B&amp;S para el cálculo de la Call: 2 Puntos</t>
  </si>
  <si>
    <t>Asignación de puntajes:
* Por calcular el lado izquierdo de la expresión: 2 Puntos
* Por calcular el lado derecho: 2 Puntos
* Por concluir que no se cumple la Put-Call Parity: 4 Puntos</t>
  </si>
  <si>
    <t>Finalmente, dado que el precio de mercado, es menor al precio  teórico, se tendrá que la opción está Subvalorada</t>
  </si>
  <si>
    <t xml:space="preserve">Asignación de puntajes:
* Por concluir que está subvalorada: Todo o nada (7 Puntos)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</si>
</sst>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&quot;$&quot;\-#,##0"/>
    <numFmt numFmtId="8" formatCode="&quot;$&quot;#,##0.00;[Red]&quot;$&quot;\-#,##0.0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 &quot;$&quot;* #,##0.00_ ;_ &quot;$&quot;* \-#,##0.00_ ;_ &quot;$&quot;* &quot;-&quot;_ ;_ @_ "/>
    <numFmt numFmtId="165" formatCode="_ &quot;$&quot;* #,##0_ ;_ &quot;$&quot;* \-#,##0_ ;_ &quot;$&quot;* &quot;-&quot;??_ ;_ @_ "/>
    <numFmt numFmtId="166" formatCode="0.000"/>
    <numFmt numFmtId="167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10" fontId="0" fillId="0" borderId="1" xfId="0" applyNumberFormat="1" applyBorder="1"/>
    <xf numFmtId="9" fontId="0" fillId="0" borderId="1" xfId="0" applyNumberFormat="1" applyBorder="1"/>
    <xf numFmtId="1" fontId="0" fillId="0" borderId="1" xfId="0" applyNumberFormat="1" applyBorder="1"/>
    <xf numFmtId="165" fontId="2" fillId="0" borderId="1" xfId="0" applyNumberFormat="1" applyFont="1" applyBorder="1"/>
    <xf numFmtId="42" fontId="0" fillId="0" borderId="1" xfId="1" applyFont="1" applyBorder="1"/>
    <xf numFmtId="164" fontId="0" fillId="0" borderId="1" xfId="0" applyNumberFormat="1" applyBorder="1"/>
    <xf numFmtId="44" fontId="0" fillId="0" borderId="1" xfId="0" applyNumberFormat="1" applyBorder="1"/>
    <xf numFmtId="0" fontId="3" fillId="0" borderId="1" xfId="0" applyFont="1" applyBorder="1"/>
    <xf numFmtId="44" fontId="2" fillId="0" borderId="1" xfId="0" applyNumberFormat="1" applyFont="1" applyBorder="1"/>
    <xf numFmtId="14" fontId="0" fillId="0" borderId="1" xfId="0" applyNumberFormat="1" applyBorder="1"/>
    <xf numFmtId="6" fontId="0" fillId="0" borderId="1" xfId="0" applyNumberFormat="1" applyBorder="1"/>
    <xf numFmtId="8" fontId="0" fillId="0" borderId="1" xfId="0" applyNumberFormat="1" applyBorder="1"/>
    <xf numFmtId="0" fontId="0" fillId="0" borderId="0" xfId="0" applyAlignment="1">
      <alignment horizontal="left" wrapText="1"/>
    </xf>
    <xf numFmtId="10" fontId="0" fillId="0" borderId="1" xfId="2" applyNumberFormat="1" applyFont="1" applyBorder="1"/>
    <xf numFmtId="167" fontId="0" fillId="0" borderId="1" xfId="0" applyNumberFormat="1" applyBorder="1"/>
    <xf numFmtId="166" fontId="0" fillId="0" borderId="1" xfId="0" applyNumberFormat="1" applyBorder="1"/>
    <xf numFmtId="0" fontId="5" fillId="0" borderId="1" xfId="0" applyFont="1" applyBorder="1"/>
    <xf numFmtId="164" fontId="5" fillId="0" borderId="1" xfId="1" applyNumberFormat="1" applyFont="1" applyBorder="1"/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vertical="top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784860</xdr:colOff>
      <xdr:row>9</xdr:row>
      <xdr:rowOff>4040</xdr:rowOff>
    </xdr:from>
    <xdr:to>
      <xdr:col>10</xdr:col>
      <xdr:colOff>190500</xdr:colOff>
      <xdr:row>11</xdr:row>
      <xdr:rowOff>161770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6D8EB5-7A5B-894F-3EDD-D6A0484F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" y="1467080"/>
          <a:ext cx="7932420" cy="52349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16</xdr:row>
      <xdr:rowOff>1044</xdr:rowOff>
    </xdr:from>
    <xdr:to>
      <xdr:col>3</xdr:col>
      <xdr:colOff>556260</xdr:colOff>
      <xdr:row>18</xdr:row>
      <xdr:rowOff>179373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8E979E-E8B5-252C-9236-26E8042D7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2744244"/>
          <a:ext cx="2392680" cy="544089"/>
        </a:xfrm>
        <a:prstGeom prst="rect">
          <a:avLst/>
        </a:prstGeom>
      </xdr:spPr>
    </xdr:pic>
    <xdr:clientData/>
  </xdr:twoCellAnchor>
  <xdr:twoCellAnchor editAs="oneCell">
    <xdr:from>
      <xdr:col>1</xdr:col>
      <xdr:colOff>7621</xdr:colOff>
      <xdr:row>25</xdr:row>
      <xdr:rowOff>2769</xdr:rowOff>
    </xdr:from>
    <xdr:to>
      <xdr:col>9</xdr:col>
      <xdr:colOff>304801</xdr:colOff>
      <xdr:row>30</xdr:row>
      <xdr:rowOff>53569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D321E2-2A16-A1A4-39A2-4307FC8D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1" y="4391889"/>
          <a:ext cx="72390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784860</xdr:colOff>
      <xdr:row>39</xdr:row>
      <xdr:rowOff>1</xdr:rowOff>
    </xdr:from>
    <xdr:to>
      <xdr:col>4</xdr:col>
      <xdr:colOff>111455</xdr:colOff>
      <xdr:row>41</xdr:row>
      <xdr:rowOff>160021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9C6BA6-B61E-B7E8-6ACC-7FBF262D1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860" y="6949441"/>
          <a:ext cx="2755595" cy="525780"/>
        </a:xfrm>
        <a:prstGeom prst="rect">
          <a:avLst/>
        </a:prstGeom>
      </xdr:spPr>
    </xdr:pic>
    <xdr:clientData/>
  </xdr:twoCellAnchor>
  <xdr:twoCellAnchor editAs="oneCell">
    <xdr:from>
      <xdr:col>1</xdr:col>
      <xdr:colOff>7621</xdr:colOff>
      <xdr:row>59</xdr:row>
      <xdr:rowOff>26341</xdr:rowOff>
    </xdr:from>
    <xdr:to>
      <xdr:col>8</xdr:col>
      <xdr:colOff>739140</xdr:colOff>
      <xdr:row>61</xdr:row>
      <xdr:rowOff>161589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541F325-CDB8-7E1A-491E-D7007BBC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0101" y="10816261"/>
          <a:ext cx="6880859" cy="5010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81</xdr:row>
      <xdr:rowOff>26566</xdr:rowOff>
    </xdr:from>
    <xdr:to>
      <xdr:col>10</xdr:col>
      <xdr:colOff>502737</xdr:colOff>
      <xdr:row>88</xdr:row>
      <xdr:rowOff>152399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2A23C85-D635-99D0-D730-DAC1CD3C4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0100" y="14839846"/>
          <a:ext cx="8229417" cy="14059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13</xdr:row>
      <xdr:rowOff>33768</xdr:rowOff>
    </xdr:from>
    <xdr:to>
      <xdr:col>8</xdr:col>
      <xdr:colOff>472440</xdr:colOff>
      <xdr:row>16</xdr:row>
      <xdr:rowOff>12211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349982-6191-ADEB-C418-73974C60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721" y="2411208"/>
          <a:ext cx="6332219" cy="52708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20</xdr:row>
      <xdr:rowOff>0</xdr:rowOff>
    </xdr:from>
    <xdr:to>
      <xdr:col>6</xdr:col>
      <xdr:colOff>7621</xdr:colOff>
      <xdr:row>22</xdr:row>
      <xdr:rowOff>59387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E69DF3-C97B-2B3B-7AE3-5FBB3396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1" y="3657600"/>
          <a:ext cx="4297680" cy="42514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28</xdr:row>
      <xdr:rowOff>1</xdr:rowOff>
    </xdr:from>
    <xdr:to>
      <xdr:col>2</xdr:col>
      <xdr:colOff>395727</xdr:colOff>
      <xdr:row>30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F7EDAA-04D3-63C4-6303-57BA8D924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" y="4754881"/>
          <a:ext cx="1508247" cy="365760"/>
        </a:xfrm>
        <a:prstGeom prst="rect">
          <a:avLst/>
        </a:prstGeom>
      </xdr:spPr>
    </xdr:pic>
    <xdr:clientData/>
  </xdr:twoCellAnchor>
  <xdr:twoCellAnchor editAs="oneCell">
    <xdr:from>
      <xdr:col>1</xdr:col>
      <xdr:colOff>7621</xdr:colOff>
      <xdr:row>42</xdr:row>
      <xdr:rowOff>15240</xdr:rowOff>
    </xdr:from>
    <xdr:to>
      <xdr:col>3</xdr:col>
      <xdr:colOff>525780</xdr:colOff>
      <xdr:row>46</xdr:row>
      <xdr:rowOff>15381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3D8D70-CC6F-55BF-1AF2-4DD5457A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0101" y="7147560"/>
          <a:ext cx="2430779" cy="73166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46</xdr:row>
      <xdr:rowOff>144781</xdr:rowOff>
    </xdr:from>
    <xdr:to>
      <xdr:col>2</xdr:col>
      <xdr:colOff>746760</xdr:colOff>
      <xdr:row>49</xdr:row>
      <xdr:rowOff>21847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9E89C0-AA0D-2542-573B-C5DC9DAD8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0100" y="8008621"/>
          <a:ext cx="1859280" cy="425706"/>
        </a:xfrm>
        <a:prstGeom prst="rect">
          <a:avLst/>
        </a:prstGeom>
      </xdr:spPr>
    </xdr:pic>
    <xdr:clientData/>
  </xdr:twoCellAnchor>
  <xdr:twoCellAnchor editAs="oneCell">
    <xdr:from>
      <xdr:col>1</xdr:col>
      <xdr:colOff>7621</xdr:colOff>
      <xdr:row>63</xdr:row>
      <xdr:rowOff>76201</xdr:rowOff>
    </xdr:from>
    <xdr:to>
      <xdr:col>8</xdr:col>
      <xdr:colOff>784861</xdr:colOff>
      <xdr:row>66</xdr:row>
      <xdr:rowOff>4887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2FBD3FD-88B4-07BF-C401-A08BB2DDE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0101" y="11049001"/>
          <a:ext cx="6652260" cy="477326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76</xdr:row>
      <xdr:rowOff>15240</xdr:rowOff>
    </xdr:from>
    <xdr:to>
      <xdr:col>4</xdr:col>
      <xdr:colOff>708661</xdr:colOff>
      <xdr:row>78</xdr:row>
      <xdr:rowOff>1129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15B194F-963B-0037-829D-AB6860FE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5341" y="13365480"/>
          <a:ext cx="3390900" cy="3516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7621</xdr:colOff>
      <xdr:row>84</xdr:row>
      <xdr:rowOff>38100</xdr:rowOff>
    </xdr:from>
    <xdr:to>
      <xdr:col>5</xdr:col>
      <xdr:colOff>175261</xdr:colOff>
      <xdr:row>85</xdr:row>
      <xdr:rowOff>171642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E420789-8C05-9D57-A0FC-DEC6FABE1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0101" y="14851380"/>
          <a:ext cx="3665220" cy="31642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89</xdr:row>
      <xdr:rowOff>7620</xdr:rowOff>
    </xdr:from>
    <xdr:to>
      <xdr:col>3</xdr:col>
      <xdr:colOff>434340</xdr:colOff>
      <xdr:row>91</xdr:row>
      <xdr:rowOff>2631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909B9C7-2A91-905F-7335-325975697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7720" y="15735300"/>
          <a:ext cx="2331720" cy="36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1D63-735C-46D2-A44C-0D00DCF5C676}">
  <dimension ref="B2:M127"/>
  <sheetViews>
    <sheetView tabSelected="1" workbookViewId="0">
      <selection activeCell="J115" sqref="J115:M120"/>
    </sheetView>
  </sheetViews>
  <sheetFormatPr baseColWidth="10" defaultRowHeight="14.4" x14ac:dyDescent="0.3"/>
  <cols>
    <col min="2" max="2" width="12.44140625" customWidth="1"/>
    <col min="3" max="3" width="14.44140625" bestFit="1" customWidth="1"/>
    <col min="7" max="7" width="16.5546875" customWidth="1"/>
  </cols>
  <sheetData>
    <row r="2" spans="2:12" x14ac:dyDescent="0.3">
      <c r="B2" s="36" t="s">
        <v>0</v>
      </c>
      <c r="C2" s="36"/>
    </row>
    <row r="3" spans="2:12" x14ac:dyDescent="0.3">
      <c r="B3" s="1" t="s">
        <v>1</v>
      </c>
      <c r="C3" s="1">
        <v>6</v>
      </c>
    </row>
    <row r="4" spans="2:12" x14ac:dyDescent="0.3">
      <c r="B4" s="1" t="s">
        <v>2</v>
      </c>
      <c r="C4" s="1">
        <v>220</v>
      </c>
    </row>
    <row r="5" spans="2:12" x14ac:dyDescent="0.3">
      <c r="B5" s="1" t="s">
        <v>3</v>
      </c>
      <c r="C5" s="5">
        <v>3.5000000000000003E-2</v>
      </c>
    </row>
    <row r="6" spans="2:12" x14ac:dyDescent="0.3">
      <c r="B6" s="1" t="s">
        <v>4</v>
      </c>
      <c r="C6" s="6">
        <v>0.02</v>
      </c>
    </row>
    <row r="7" spans="2:12" x14ac:dyDescent="0.3">
      <c r="B7" s="1" t="s">
        <v>5</v>
      </c>
      <c r="C7" s="6">
        <v>0.1</v>
      </c>
    </row>
    <row r="8" spans="2:12" x14ac:dyDescent="0.3">
      <c r="B8" s="1" t="s">
        <v>20</v>
      </c>
      <c r="C8" s="7">
        <v>10000</v>
      </c>
    </row>
    <row r="14" spans="2:12" x14ac:dyDescent="0.3">
      <c r="B14" s="28" t="s">
        <v>6</v>
      </c>
      <c r="C14" s="28"/>
      <c r="D14" s="28"/>
      <c r="E14" s="28"/>
      <c r="F14" s="28"/>
      <c r="G14" s="28"/>
    </row>
    <row r="15" spans="2:12" x14ac:dyDescent="0.3">
      <c r="B15" s="28"/>
      <c r="C15" s="28"/>
      <c r="D15" s="28"/>
      <c r="E15" s="28"/>
      <c r="F15" s="28"/>
      <c r="G15" s="28"/>
    </row>
    <row r="16" spans="2:12" x14ac:dyDescent="0.3">
      <c r="I16" s="34" t="s">
        <v>9</v>
      </c>
      <c r="J16" s="34"/>
      <c r="K16" s="34"/>
      <c r="L16" s="34"/>
    </row>
    <row r="17" spans="2:12" x14ac:dyDescent="0.3">
      <c r="I17" s="34"/>
      <c r="J17" s="34"/>
      <c r="K17" s="34"/>
      <c r="L17" s="34"/>
    </row>
    <row r="18" spans="2:12" x14ac:dyDescent="0.3">
      <c r="I18" s="34"/>
      <c r="J18" s="34"/>
      <c r="K18" s="34"/>
      <c r="L18" s="34"/>
    </row>
    <row r="19" spans="2:12" x14ac:dyDescent="0.3">
      <c r="I19" s="34"/>
      <c r="J19" s="34"/>
      <c r="K19" s="34"/>
      <c r="L19" s="34"/>
    </row>
    <row r="21" spans="2:12" x14ac:dyDescent="0.3">
      <c r="B21" s="24" t="s">
        <v>7</v>
      </c>
      <c r="C21" s="24"/>
      <c r="D21" s="24"/>
      <c r="E21" s="24"/>
      <c r="F21" s="24"/>
      <c r="G21" s="24"/>
    </row>
    <row r="23" spans="2:12" x14ac:dyDescent="0.3">
      <c r="B23" s="3" t="s">
        <v>8</v>
      </c>
      <c r="C23" s="4">
        <f>C4*EXP((C5+C6-C7)*C3/12)</f>
        <v>215.10527218253401</v>
      </c>
    </row>
    <row r="33" spans="2:10" x14ac:dyDescent="0.3">
      <c r="B33" s="36" t="s">
        <v>10</v>
      </c>
      <c r="C33" s="36"/>
    </row>
    <row r="34" spans="2:10" x14ac:dyDescent="0.3">
      <c r="B34" s="1" t="s">
        <v>11</v>
      </c>
      <c r="C34" s="1">
        <v>3</v>
      </c>
    </row>
    <row r="35" spans="2:10" x14ac:dyDescent="0.3">
      <c r="B35" s="1" t="s">
        <v>2</v>
      </c>
      <c r="C35" s="1">
        <v>240</v>
      </c>
    </row>
    <row r="37" spans="2:10" x14ac:dyDescent="0.3">
      <c r="B37" s="28" t="s">
        <v>12</v>
      </c>
      <c r="C37" s="28"/>
      <c r="D37" s="28"/>
      <c r="E37" s="28"/>
      <c r="F37" s="28"/>
      <c r="G37" s="28"/>
    </row>
    <row r="38" spans="2:10" x14ac:dyDescent="0.3">
      <c r="B38" s="28"/>
      <c r="C38" s="28"/>
      <c r="D38" s="28"/>
      <c r="E38" s="28"/>
      <c r="F38" s="28"/>
      <c r="G38" s="28"/>
    </row>
    <row r="44" spans="2:10" x14ac:dyDescent="0.3">
      <c r="B44" s="24" t="s">
        <v>13</v>
      </c>
      <c r="C44" s="24"/>
    </row>
    <row r="46" spans="2:10" x14ac:dyDescent="0.3">
      <c r="B46" s="24" t="s">
        <v>14</v>
      </c>
      <c r="C46" s="24"/>
      <c r="G46" s="34" t="s">
        <v>21</v>
      </c>
      <c r="H46" s="34"/>
      <c r="I46" s="34"/>
      <c r="J46" s="34"/>
    </row>
    <row r="47" spans="2:10" x14ac:dyDescent="0.3">
      <c r="G47" s="34"/>
      <c r="H47" s="34"/>
      <c r="I47" s="34"/>
      <c r="J47" s="34"/>
    </row>
    <row r="48" spans="2:10" x14ac:dyDescent="0.3">
      <c r="B48" s="21" t="s">
        <v>15</v>
      </c>
      <c r="C48" s="22">
        <f>C35*EXP((C5+C6-C7)*C34/12)</f>
        <v>237.31513070669595</v>
      </c>
      <c r="G48" s="34"/>
      <c r="H48" s="34"/>
      <c r="I48" s="34"/>
      <c r="J48" s="34"/>
    </row>
    <row r="49" spans="2:10" x14ac:dyDescent="0.3">
      <c r="G49" s="34"/>
      <c r="H49" s="34"/>
      <c r="I49" s="34"/>
      <c r="J49" s="34"/>
    </row>
    <row r="50" spans="2:10" x14ac:dyDescent="0.3">
      <c r="B50" s="24" t="s">
        <v>16</v>
      </c>
      <c r="C50" s="24"/>
    </row>
    <row r="52" spans="2:10" x14ac:dyDescent="0.3">
      <c r="B52" s="21" t="s">
        <v>17</v>
      </c>
      <c r="C52" s="22">
        <f>(C23-C48)*EXP(-C5*C34/12)</f>
        <v>-22.016370008825589</v>
      </c>
    </row>
    <row r="54" spans="2:10" x14ac:dyDescent="0.3">
      <c r="B54" s="28" t="s">
        <v>18</v>
      </c>
      <c r="C54" s="28"/>
      <c r="D54" s="28"/>
      <c r="E54" s="28"/>
      <c r="F54" s="28"/>
    </row>
    <row r="55" spans="2:10" x14ac:dyDescent="0.3">
      <c r="B55" s="28"/>
      <c r="C55" s="28"/>
      <c r="D55" s="28"/>
      <c r="E55" s="28"/>
      <c r="F55" s="28"/>
    </row>
    <row r="57" spans="2:10" x14ac:dyDescent="0.3">
      <c r="B57" s="3" t="s">
        <v>19</v>
      </c>
      <c r="C57" s="8">
        <f>C52*C8</f>
        <v>-220163.70008825589</v>
      </c>
    </row>
    <row r="64" spans="2:10" x14ac:dyDescent="0.3">
      <c r="B64" s="35" t="s">
        <v>22</v>
      </c>
      <c r="C64" s="35"/>
      <c r="D64" s="35"/>
      <c r="E64" s="35"/>
      <c r="F64" s="35"/>
      <c r="G64" s="35"/>
      <c r="H64" s="35"/>
      <c r="I64" s="35"/>
    </row>
    <row r="65" spans="2:9" x14ac:dyDescent="0.3">
      <c r="B65" s="35"/>
      <c r="C65" s="35"/>
      <c r="D65" s="35"/>
      <c r="E65" s="35"/>
      <c r="F65" s="35"/>
      <c r="G65" s="35"/>
      <c r="H65" s="35"/>
      <c r="I65" s="35"/>
    </row>
    <row r="66" spans="2:9" x14ac:dyDescent="0.3">
      <c r="B66" s="35"/>
      <c r="C66" s="35"/>
      <c r="D66" s="35"/>
      <c r="E66" s="35"/>
      <c r="F66" s="35"/>
      <c r="G66" s="35"/>
      <c r="H66" s="35"/>
      <c r="I66" s="35"/>
    </row>
    <row r="68" spans="2:9" x14ac:dyDescent="0.3">
      <c r="B68" s="24" t="s">
        <v>23</v>
      </c>
      <c r="C68" s="24"/>
      <c r="D68" s="24"/>
    </row>
    <row r="70" spans="2:9" x14ac:dyDescent="0.3">
      <c r="B70" s="31" t="s">
        <v>24</v>
      </c>
      <c r="C70" s="31"/>
      <c r="D70" s="9">
        <v>250</v>
      </c>
      <c r="F70" s="34" t="s">
        <v>78</v>
      </c>
      <c r="G70" s="34"/>
      <c r="H70" s="34"/>
      <c r="I70" s="34"/>
    </row>
    <row r="71" spans="2:9" x14ac:dyDescent="0.3">
      <c r="B71" s="31" t="s">
        <v>25</v>
      </c>
      <c r="C71" s="31"/>
      <c r="D71" s="10">
        <f>C23</f>
        <v>215.10527218253401</v>
      </c>
      <c r="F71" s="34"/>
      <c r="G71" s="34"/>
      <c r="H71" s="34"/>
      <c r="I71" s="34"/>
    </row>
    <row r="72" spans="2:9" x14ac:dyDescent="0.3">
      <c r="F72" s="34"/>
      <c r="G72" s="34"/>
      <c r="H72" s="34"/>
      <c r="I72" s="34"/>
    </row>
    <row r="73" spans="2:9" x14ac:dyDescent="0.3">
      <c r="B73" s="12" t="s">
        <v>26</v>
      </c>
      <c r="F73" s="34"/>
      <c r="G73" s="34"/>
      <c r="H73" s="34"/>
      <c r="I73" s="34"/>
    </row>
    <row r="75" spans="2:9" x14ac:dyDescent="0.3">
      <c r="B75" s="3" t="s">
        <v>19</v>
      </c>
      <c r="C75" s="13">
        <f>D71-D70</f>
        <v>-34.894727817465991</v>
      </c>
    </row>
    <row r="77" spans="2:9" x14ac:dyDescent="0.3">
      <c r="B77" s="32" t="s">
        <v>27</v>
      </c>
      <c r="C77" s="33"/>
    </row>
    <row r="79" spans="2:9" x14ac:dyDescent="0.3">
      <c r="B79" s="3" t="s">
        <v>28</v>
      </c>
      <c r="C79" s="8">
        <f>C75*C8</f>
        <v>-348947.27817465994</v>
      </c>
    </row>
    <row r="92" spans="2:11" x14ac:dyDescent="0.3">
      <c r="B92" s="28" t="s">
        <v>29</v>
      </c>
      <c r="C92" s="28"/>
      <c r="D92" s="28"/>
      <c r="E92" s="28"/>
      <c r="F92" s="28"/>
      <c r="G92" s="28"/>
      <c r="H92" s="28"/>
      <c r="I92" s="28"/>
      <c r="J92" s="28"/>
      <c r="K92" s="28"/>
    </row>
    <row r="93" spans="2:11" x14ac:dyDescent="0.3">
      <c r="B93" s="28"/>
      <c r="C93" s="28"/>
      <c r="D93" s="28"/>
      <c r="E93" s="28"/>
      <c r="F93" s="28"/>
      <c r="G93" s="28"/>
      <c r="H93" s="28"/>
      <c r="I93" s="28"/>
      <c r="J93" s="28"/>
      <c r="K93" s="28"/>
    </row>
    <row r="94" spans="2:11" x14ac:dyDescent="0.3">
      <c r="B94" s="28"/>
      <c r="C94" s="28"/>
      <c r="D94" s="28"/>
      <c r="E94" s="28"/>
      <c r="F94" s="28"/>
      <c r="G94" s="28"/>
      <c r="H94" s="28"/>
      <c r="I94" s="28"/>
      <c r="J94" s="28"/>
      <c r="K94" s="28"/>
    </row>
    <row r="97" spans="2:8" x14ac:dyDescent="0.3">
      <c r="B97" s="1" t="s">
        <v>30</v>
      </c>
      <c r="C97" s="9">
        <v>110</v>
      </c>
    </row>
    <row r="99" spans="2:8" x14ac:dyDescent="0.3">
      <c r="B99" s="29" t="s">
        <v>31</v>
      </c>
      <c r="C99" s="30" t="s">
        <v>32</v>
      </c>
    </row>
    <row r="100" spans="2:8" x14ac:dyDescent="0.3">
      <c r="B100" s="29"/>
      <c r="C100" s="30"/>
    </row>
    <row r="102" spans="2:8" ht="14.4" customHeight="1" x14ac:dyDescent="0.3">
      <c r="B102" s="25" t="s">
        <v>33</v>
      </c>
      <c r="C102" s="25"/>
      <c r="D102" s="25"/>
      <c r="E102" s="25"/>
      <c r="F102" s="25"/>
      <c r="G102" s="25"/>
      <c r="H102" s="25"/>
    </row>
    <row r="103" spans="2:8" x14ac:dyDescent="0.3">
      <c r="B103" s="25"/>
      <c r="C103" s="25"/>
      <c r="D103" s="25"/>
      <c r="E103" s="25"/>
      <c r="F103" s="25"/>
      <c r="G103" s="25"/>
      <c r="H103" s="25"/>
    </row>
    <row r="104" spans="2:8" x14ac:dyDescent="0.3">
      <c r="B104" s="25"/>
      <c r="C104" s="25"/>
      <c r="D104" s="25"/>
      <c r="E104" s="25"/>
      <c r="F104" s="25"/>
      <c r="G104" s="25"/>
      <c r="H104" s="25"/>
    </row>
    <row r="105" spans="2:8" x14ac:dyDescent="0.3">
      <c r="B105" s="25"/>
      <c r="C105" s="25"/>
      <c r="D105" s="25"/>
      <c r="E105" s="25"/>
      <c r="F105" s="25"/>
      <c r="G105" s="25"/>
      <c r="H105" s="25"/>
    </row>
    <row r="106" spans="2:8" x14ac:dyDescent="0.3">
      <c r="B106" s="25"/>
      <c r="C106" s="25"/>
      <c r="D106" s="25"/>
      <c r="E106" s="25"/>
      <c r="F106" s="25"/>
      <c r="G106" s="25"/>
      <c r="H106" s="25"/>
    </row>
    <row r="108" spans="2:8" x14ac:dyDescent="0.3">
      <c r="B108" s="1" t="s">
        <v>8</v>
      </c>
      <c r="C108" s="10">
        <f>C23</f>
        <v>215.10527218253401</v>
      </c>
      <c r="E108" s="24" t="s">
        <v>34</v>
      </c>
      <c r="F108" s="24"/>
      <c r="G108" s="24"/>
    </row>
    <row r="110" spans="2:8" x14ac:dyDescent="0.3">
      <c r="B110" s="26" t="s">
        <v>35</v>
      </c>
      <c r="C110" s="26"/>
      <c r="D110" s="26"/>
    </row>
    <row r="112" spans="2:8" x14ac:dyDescent="0.3">
      <c r="B112" s="1" t="s">
        <v>36</v>
      </c>
      <c r="C112" s="11">
        <f>0.5*C108</f>
        <v>107.552636091267</v>
      </c>
    </row>
    <row r="114" spans="2:13" x14ac:dyDescent="0.3">
      <c r="B114" s="24" t="s">
        <v>37</v>
      </c>
      <c r="C114" s="24"/>
      <c r="D114" s="24"/>
      <c r="E114" s="24"/>
      <c r="F114" s="24"/>
      <c r="G114" s="24"/>
      <c r="H114" s="24"/>
    </row>
    <row r="115" spans="2:13" ht="14.4" customHeight="1" x14ac:dyDescent="0.3">
      <c r="J115" s="34" t="s">
        <v>79</v>
      </c>
      <c r="K115" s="34"/>
      <c r="L115" s="34"/>
      <c r="M115" s="34"/>
    </row>
    <row r="116" spans="2:13" x14ac:dyDescent="0.3">
      <c r="B116" s="1" t="s">
        <v>38</v>
      </c>
      <c r="C116" s="2">
        <f>C112*EXP(-C5*C3/12)</f>
        <v>105.68683830675556</v>
      </c>
      <c r="J116" s="34"/>
      <c r="K116" s="34"/>
      <c r="L116" s="34"/>
      <c r="M116" s="34"/>
    </row>
    <row r="117" spans="2:13" x14ac:dyDescent="0.3">
      <c r="J117" s="34"/>
      <c r="K117" s="34"/>
      <c r="L117" s="34"/>
      <c r="M117" s="34"/>
    </row>
    <row r="118" spans="2:13" x14ac:dyDescent="0.3">
      <c r="B118" s="1" t="s">
        <v>39</v>
      </c>
      <c r="C118" s="11">
        <f>C116+C97</f>
        <v>215.68683830675556</v>
      </c>
      <c r="E118" s="24" t="s">
        <v>40</v>
      </c>
      <c r="F118" s="24"/>
      <c r="G118" s="24"/>
      <c r="H118" s="24"/>
      <c r="J118" s="34"/>
      <c r="K118" s="34"/>
      <c r="L118" s="34"/>
      <c r="M118" s="34"/>
    </row>
    <row r="119" spans="2:13" x14ac:dyDescent="0.3">
      <c r="J119" s="34"/>
      <c r="K119" s="34"/>
      <c r="L119" s="34"/>
      <c r="M119" s="34"/>
    </row>
    <row r="120" spans="2:13" ht="14.4" customHeight="1" x14ac:dyDescent="0.3">
      <c r="B120" s="28" t="s">
        <v>42</v>
      </c>
      <c r="C120" s="28"/>
      <c r="D120" s="28"/>
      <c r="E120" s="28"/>
      <c r="F120" s="28"/>
      <c r="G120" s="28"/>
      <c r="H120" s="28"/>
      <c r="J120" s="34"/>
      <c r="K120" s="34"/>
      <c r="L120" s="34"/>
      <c r="M120" s="34"/>
    </row>
    <row r="121" spans="2:13" x14ac:dyDescent="0.3">
      <c r="B121" s="28"/>
      <c r="C121" s="28"/>
      <c r="D121" s="28"/>
      <c r="E121" s="28"/>
      <c r="F121" s="28"/>
      <c r="G121" s="28"/>
      <c r="H121" s="28"/>
    </row>
    <row r="124" spans="2:13" x14ac:dyDescent="0.3">
      <c r="B124" s="27" t="s">
        <v>41</v>
      </c>
      <c r="C124" s="27"/>
      <c r="D124" s="13">
        <f>C118-220</f>
        <v>-4.3131616932444388</v>
      </c>
    </row>
    <row r="126" spans="2:13" x14ac:dyDescent="0.3">
      <c r="B126" s="23" t="s">
        <v>43</v>
      </c>
      <c r="C126" s="23"/>
      <c r="D126" s="23"/>
      <c r="E126" s="23"/>
      <c r="F126" s="23"/>
      <c r="G126" s="23"/>
      <c r="H126" s="23"/>
    </row>
    <row r="127" spans="2:13" x14ac:dyDescent="0.3">
      <c r="B127" s="23"/>
      <c r="C127" s="23"/>
      <c r="D127" s="23"/>
      <c r="E127" s="23"/>
      <c r="F127" s="23"/>
      <c r="G127" s="23"/>
      <c r="H127" s="23"/>
    </row>
  </sheetData>
  <mergeCells count="29">
    <mergeCell ref="B37:G38"/>
    <mergeCell ref="F70:I73"/>
    <mergeCell ref="J115:M120"/>
    <mergeCell ref="B2:C2"/>
    <mergeCell ref="B14:G15"/>
    <mergeCell ref="B21:G21"/>
    <mergeCell ref="I16:L19"/>
    <mergeCell ref="B33:C33"/>
    <mergeCell ref="B99:B100"/>
    <mergeCell ref="C99:C100"/>
    <mergeCell ref="B50:C50"/>
    <mergeCell ref="B44:C44"/>
    <mergeCell ref="B46:C46"/>
    <mergeCell ref="B54:F55"/>
    <mergeCell ref="B68:D68"/>
    <mergeCell ref="B70:C70"/>
    <mergeCell ref="B71:C71"/>
    <mergeCell ref="B77:C77"/>
    <mergeCell ref="B92:K94"/>
    <mergeCell ref="G46:J49"/>
    <mergeCell ref="B64:I66"/>
    <mergeCell ref="B126:H127"/>
    <mergeCell ref="E118:H118"/>
    <mergeCell ref="B114:H114"/>
    <mergeCell ref="B102:H106"/>
    <mergeCell ref="E108:G108"/>
    <mergeCell ref="B110:D110"/>
    <mergeCell ref="B124:C124"/>
    <mergeCell ref="B120:H1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A706-E402-42B7-9E5A-237BCB47953B}">
  <dimension ref="B2:K107"/>
  <sheetViews>
    <sheetView topLeftCell="A86" workbookViewId="0">
      <selection activeCell="G71" sqref="G71:K72"/>
    </sheetView>
  </sheetViews>
  <sheetFormatPr baseColWidth="10" defaultRowHeight="14.4" x14ac:dyDescent="0.3"/>
  <cols>
    <col min="2" max="2" width="16.33203125" bestFit="1" customWidth="1"/>
  </cols>
  <sheetData>
    <row r="2" spans="2:3" x14ac:dyDescent="0.3">
      <c r="B2" s="36" t="s">
        <v>0</v>
      </c>
      <c r="C2" s="36"/>
    </row>
    <row r="3" spans="2:3" x14ac:dyDescent="0.3">
      <c r="B3" s="1" t="s">
        <v>44</v>
      </c>
      <c r="C3" s="14">
        <v>45827</v>
      </c>
    </row>
    <row r="4" spans="2:3" x14ac:dyDescent="0.3">
      <c r="B4" s="1" t="s">
        <v>45</v>
      </c>
      <c r="C4" s="14">
        <v>46010</v>
      </c>
    </row>
    <row r="5" spans="2:3" x14ac:dyDescent="0.3">
      <c r="B5" s="1" t="s">
        <v>2</v>
      </c>
      <c r="C5" s="15">
        <v>145</v>
      </c>
    </row>
    <row r="6" spans="2:3" x14ac:dyDescent="0.3">
      <c r="B6" s="1" t="s">
        <v>46</v>
      </c>
      <c r="C6" s="6">
        <v>0.3</v>
      </c>
    </row>
    <row r="7" spans="2:3" x14ac:dyDescent="0.3">
      <c r="B7" s="1" t="s">
        <v>47</v>
      </c>
      <c r="C7" s="6">
        <v>0.2</v>
      </c>
    </row>
    <row r="8" spans="2:3" x14ac:dyDescent="0.3">
      <c r="B8" s="1" t="s">
        <v>48</v>
      </c>
      <c r="C8" s="16">
        <v>9.5</v>
      </c>
    </row>
    <row r="9" spans="2:3" x14ac:dyDescent="0.3">
      <c r="B9" s="1" t="s">
        <v>49</v>
      </c>
      <c r="C9" s="16">
        <v>11.25</v>
      </c>
    </row>
    <row r="10" spans="2:3" x14ac:dyDescent="0.3">
      <c r="B10" s="1" t="s">
        <v>50</v>
      </c>
      <c r="C10" s="1">
        <v>0</v>
      </c>
    </row>
    <row r="11" spans="2:3" x14ac:dyDescent="0.3">
      <c r="B11" s="1" t="s">
        <v>51</v>
      </c>
      <c r="C11" s="5">
        <v>5.0999999999999997E-2</v>
      </c>
    </row>
    <row r="12" spans="2:3" x14ac:dyDescent="0.3">
      <c r="B12" s="1" t="s">
        <v>52</v>
      </c>
      <c r="C12" s="15">
        <v>150</v>
      </c>
    </row>
    <row r="18" spans="2:6" x14ac:dyDescent="0.3">
      <c r="B18" s="28" t="s">
        <v>53</v>
      </c>
      <c r="C18" s="28"/>
      <c r="D18" s="28"/>
      <c r="E18" s="28"/>
    </row>
    <row r="19" spans="2:6" x14ac:dyDescent="0.3">
      <c r="B19" s="28"/>
      <c r="C19" s="28"/>
      <c r="D19" s="28"/>
      <c r="E19" s="28"/>
    </row>
    <row r="25" spans="2:6" x14ac:dyDescent="0.3">
      <c r="B25" s="28" t="s">
        <v>54</v>
      </c>
      <c r="C25" s="28"/>
      <c r="D25" s="28"/>
      <c r="E25" s="28"/>
      <c r="F25" s="28"/>
    </row>
    <row r="26" spans="2:6" x14ac:dyDescent="0.3">
      <c r="B26" s="28"/>
      <c r="C26" s="28"/>
      <c r="D26" s="28"/>
      <c r="E26" s="28"/>
      <c r="F26" s="28"/>
    </row>
    <row r="32" spans="2:6" x14ac:dyDescent="0.3">
      <c r="B32" s="1" t="s">
        <v>55</v>
      </c>
      <c r="C32" s="18">
        <f>LN(1+C11)</f>
        <v>4.974209189481401E-2</v>
      </c>
    </row>
    <row r="34" spans="2:5" x14ac:dyDescent="0.3">
      <c r="B34" s="28" t="s">
        <v>56</v>
      </c>
      <c r="C34" s="28"/>
      <c r="D34" s="28"/>
      <c r="E34" s="28"/>
    </row>
    <row r="35" spans="2:5" x14ac:dyDescent="0.3">
      <c r="B35" s="28"/>
      <c r="C35" s="28"/>
      <c r="D35" s="28"/>
      <c r="E35" s="28"/>
    </row>
    <row r="37" spans="2:5" x14ac:dyDescent="0.3">
      <c r="B37" s="1" t="s">
        <v>57</v>
      </c>
      <c r="C37" s="1">
        <f>C4-C3</f>
        <v>183</v>
      </c>
    </row>
    <row r="38" spans="2:5" x14ac:dyDescent="0.3">
      <c r="B38" s="1" t="s">
        <v>11</v>
      </c>
      <c r="C38" s="19">
        <f>C37/30</f>
        <v>6.1</v>
      </c>
    </row>
    <row r="39" spans="2:5" x14ac:dyDescent="0.3">
      <c r="B39" s="1" t="s">
        <v>58</v>
      </c>
      <c r="C39" s="1">
        <f>C38/12</f>
        <v>0.5083333333333333</v>
      </c>
    </row>
    <row r="41" spans="2:5" x14ac:dyDescent="0.3">
      <c r="B41" s="24" t="s">
        <v>59</v>
      </c>
      <c r="C41" s="24"/>
    </row>
    <row r="52" spans="2:10" x14ac:dyDescent="0.3">
      <c r="B52" s="1" t="s">
        <v>60</v>
      </c>
      <c r="C52" s="20">
        <f>(LN(C5/(C12*EXP(-C32*C39)))/(C6*SQRT(C39)))+((C6*SQRT(C39))/2)</f>
        <v>6.6664384897564793E-2</v>
      </c>
    </row>
    <row r="53" spans="2:10" x14ac:dyDescent="0.3">
      <c r="B53" s="1" t="s">
        <v>61</v>
      </c>
      <c r="C53" s="1">
        <f>C52-(C6*SQRT(C39))</f>
        <v>-0.14722811146450959</v>
      </c>
    </row>
    <row r="55" spans="2:10" x14ac:dyDescent="0.3">
      <c r="B55" s="24" t="s">
        <v>62</v>
      </c>
      <c r="C55" s="24"/>
      <c r="D55" s="24"/>
      <c r="G55" s="34" t="s">
        <v>81</v>
      </c>
      <c r="H55" s="34"/>
      <c r="I55" s="34"/>
      <c r="J55" s="34"/>
    </row>
    <row r="56" spans="2:10" x14ac:dyDescent="0.3">
      <c r="G56" s="34"/>
      <c r="H56" s="34"/>
      <c r="I56" s="34"/>
      <c r="J56" s="34"/>
    </row>
    <row r="57" spans="2:10" x14ac:dyDescent="0.3">
      <c r="B57" s="1" t="s">
        <v>63</v>
      </c>
      <c r="C57" s="1">
        <f>_xlfn.NORM.S.DIST(C52,TRUE)</f>
        <v>0.5265755560267571</v>
      </c>
      <c r="G57" s="34"/>
      <c r="H57" s="34"/>
      <c r="I57" s="34"/>
      <c r="J57" s="34"/>
    </row>
    <row r="58" spans="2:10" x14ac:dyDescent="0.3">
      <c r="B58" s="1" t="s">
        <v>64</v>
      </c>
      <c r="C58" s="1">
        <f>_xlfn.NORM.S.DIST(C53,TRUE)</f>
        <v>0.44147598631511192</v>
      </c>
      <c r="G58" s="34"/>
      <c r="H58" s="34"/>
      <c r="I58" s="34"/>
      <c r="J58" s="34"/>
    </row>
    <row r="59" spans="2:10" x14ac:dyDescent="0.3">
      <c r="G59" s="34"/>
      <c r="H59" s="34"/>
      <c r="I59" s="34"/>
      <c r="J59" s="34"/>
    </row>
    <row r="60" spans="2:10" x14ac:dyDescent="0.3">
      <c r="B60" s="24" t="s">
        <v>65</v>
      </c>
      <c r="C60" s="24"/>
      <c r="D60" s="24"/>
      <c r="G60" s="34"/>
      <c r="H60" s="34"/>
      <c r="I60" s="34"/>
      <c r="J60" s="34"/>
    </row>
    <row r="62" spans="2:10" x14ac:dyDescent="0.3">
      <c r="B62" s="1" t="s">
        <v>66</v>
      </c>
      <c r="C62" s="16">
        <f>C5*C57-C12*C58*EXP(-C32*C39)</f>
        <v>11.78551069101745</v>
      </c>
    </row>
    <row r="68" spans="2:11" x14ac:dyDescent="0.3">
      <c r="B68" s="24" t="s">
        <v>67</v>
      </c>
      <c r="C68" s="24"/>
      <c r="D68" s="24"/>
    </row>
    <row r="70" spans="2:11" x14ac:dyDescent="0.3">
      <c r="B70" s="1" t="s">
        <v>68</v>
      </c>
      <c r="C70" s="16">
        <f>C62</f>
        <v>11.78551069101745</v>
      </c>
    </row>
    <row r="71" spans="2:11" ht="14.4" customHeight="1" x14ac:dyDescent="0.3">
      <c r="G71" s="34" t="s">
        <v>84</v>
      </c>
      <c r="H71" s="34"/>
      <c r="I71" s="34"/>
      <c r="J71" s="34"/>
      <c r="K71" s="34"/>
    </row>
    <row r="72" spans="2:11" x14ac:dyDescent="0.3">
      <c r="B72" s="1" t="s">
        <v>69</v>
      </c>
      <c r="C72" s="16">
        <f>C8</f>
        <v>9.5</v>
      </c>
      <c r="G72" s="34"/>
      <c r="H72" s="34"/>
      <c r="I72" s="34"/>
      <c r="J72" s="34"/>
      <c r="K72" s="34"/>
    </row>
    <row r="74" spans="2:11" x14ac:dyDescent="0.3">
      <c r="B74" s="28" t="s">
        <v>83</v>
      </c>
      <c r="C74" s="28"/>
      <c r="D74" s="28"/>
      <c r="E74" s="28"/>
    </row>
    <row r="75" spans="2:11" x14ac:dyDescent="0.3">
      <c r="B75" s="28"/>
      <c r="C75" s="28"/>
      <c r="D75" s="28"/>
      <c r="E75" s="28"/>
    </row>
    <row r="80" spans="2:11" x14ac:dyDescent="0.3">
      <c r="B80" s="37" t="s">
        <v>70</v>
      </c>
      <c r="C80" s="37"/>
      <c r="D80" s="37"/>
      <c r="E80" s="37"/>
    </row>
    <row r="81" spans="2:9" x14ac:dyDescent="0.3">
      <c r="B81" s="37"/>
      <c r="C81" s="37"/>
      <c r="D81" s="37"/>
      <c r="E81" s="37"/>
    </row>
    <row r="82" spans="2:9" x14ac:dyDescent="0.3">
      <c r="G82" s="34" t="s">
        <v>80</v>
      </c>
      <c r="H82" s="39"/>
      <c r="I82" s="39"/>
    </row>
    <row r="83" spans="2:9" x14ac:dyDescent="0.3">
      <c r="B83" s="1" t="s">
        <v>63</v>
      </c>
      <c r="C83" s="1">
        <f>C57</f>
        <v>0.5265755560267571</v>
      </c>
      <c r="G83" s="39"/>
      <c r="H83" s="39"/>
      <c r="I83" s="39"/>
    </row>
    <row r="88" spans="2:9" x14ac:dyDescent="0.3">
      <c r="B88" s="26" t="s">
        <v>71</v>
      </c>
      <c r="C88" s="26"/>
    </row>
    <row r="93" spans="2:9" x14ac:dyDescent="0.3">
      <c r="B93" s="28" t="s">
        <v>72</v>
      </c>
      <c r="C93" s="28"/>
      <c r="D93" s="28"/>
      <c r="E93" s="28"/>
    </row>
    <row r="94" spans="2:9" x14ac:dyDescent="0.3">
      <c r="B94" s="28"/>
      <c r="C94" s="28"/>
      <c r="D94" s="28"/>
      <c r="E94" s="28"/>
    </row>
    <row r="95" spans="2:9" x14ac:dyDescent="0.3">
      <c r="B95" s="17"/>
      <c r="C95" s="17"/>
      <c r="D95" s="17"/>
      <c r="E95" s="17"/>
    </row>
    <row r="96" spans="2:9" x14ac:dyDescent="0.3">
      <c r="B96" s="28" t="s">
        <v>75</v>
      </c>
      <c r="C96" s="28"/>
      <c r="D96" s="28"/>
      <c r="E96" s="28"/>
    </row>
    <row r="97" spans="2:11" x14ac:dyDescent="0.3">
      <c r="B97" s="28"/>
      <c r="C97" s="28"/>
      <c r="D97" s="28"/>
      <c r="E97" s="28"/>
    </row>
    <row r="98" spans="2:11" ht="14.4" customHeight="1" x14ac:dyDescent="0.3">
      <c r="G98" s="34" t="s">
        <v>82</v>
      </c>
      <c r="H98" s="34"/>
      <c r="I98" s="34"/>
      <c r="J98" s="34"/>
      <c r="K98" s="34"/>
    </row>
    <row r="99" spans="2:11" x14ac:dyDescent="0.3">
      <c r="B99" s="1" t="s">
        <v>73</v>
      </c>
      <c r="C99" s="16">
        <f>C9+C5</f>
        <v>156.25</v>
      </c>
      <c r="G99" s="34"/>
      <c r="H99" s="34"/>
      <c r="I99" s="34"/>
      <c r="J99" s="34"/>
      <c r="K99" s="34"/>
    </row>
    <row r="100" spans="2:11" x14ac:dyDescent="0.3">
      <c r="G100" s="34"/>
      <c r="H100" s="34"/>
      <c r="I100" s="34"/>
      <c r="J100" s="34"/>
      <c r="K100" s="34"/>
    </row>
    <row r="101" spans="2:11" x14ac:dyDescent="0.3">
      <c r="B101" s="1" t="s">
        <v>74</v>
      </c>
      <c r="C101" s="16">
        <f>C8+C12*EXP(-C32*C39)</f>
        <v>155.75471584942727</v>
      </c>
      <c r="G101" s="34"/>
      <c r="H101" s="34"/>
      <c r="I101" s="34"/>
      <c r="J101" s="34"/>
      <c r="K101" s="34"/>
    </row>
    <row r="102" spans="2:11" x14ac:dyDescent="0.3">
      <c r="G102" s="34"/>
      <c r="H102" s="34"/>
      <c r="I102" s="34"/>
      <c r="J102" s="34"/>
      <c r="K102" s="34"/>
    </row>
    <row r="103" spans="2:11" x14ac:dyDescent="0.3">
      <c r="B103" s="3" t="s">
        <v>76</v>
      </c>
      <c r="C103" s="3" t="b">
        <f>C99=C101</f>
        <v>0</v>
      </c>
      <c r="G103" s="40"/>
      <c r="H103" s="40"/>
      <c r="I103" s="40"/>
      <c r="J103" s="40"/>
      <c r="K103" s="40"/>
    </row>
    <row r="104" spans="2:11" x14ac:dyDescent="0.3">
      <c r="G104" s="40"/>
      <c r="H104" s="40"/>
      <c r="I104" s="40"/>
      <c r="J104" s="40"/>
      <c r="K104" s="40"/>
    </row>
    <row r="105" spans="2:11" x14ac:dyDescent="0.3">
      <c r="B105" s="38" t="s">
        <v>77</v>
      </c>
      <c r="C105" s="38"/>
      <c r="D105" s="38"/>
      <c r="E105" s="38"/>
      <c r="G105" s="40"/>
      <c r="H105" s="40"/>
      <c r="I105" s="40"/>
      <c r="J105" s="40"/>
      <c r="K105" s="40"/>
    </row>
    <row r="106" spans="2:11" x14ac:dyDescent="0.3">
      <c r="B106" s="38"/>
      <c r="C106" s="38"/>
      <c r="D106" s="38"/>
      <c r="E106" s="38"/>
    </row>
    <row r="107" spans="2:11" x14ac:dyDescent="0.3">
      <c r="B107" s="38"/>
      <c r="C107" s="38"/>
      <c r="D107" s="38"/>
      <c r="E107" s="38"/>
    </row>
  </sheetData>
  <mergeCells count="18">
    <mergeCell ref="G82:I83"/>
    <mergeCell ref="G55:J60"/>
    <mergeCell ref="G98:K102"/>
    <mergeCell ref="G71:K72"/>
    <mergeCell ref="B105:E107"/>
    <mergeCell ref="B88:C88"/>
    <mergeCell ref="B68:D68"/>
    <mergeCell ref="B55:D55"/>
    <mergeCell ref="B60:D60"/>
    <mergeCell ref="B93:E94"/>
    <mergeCell ref="B96:E97"/>
    <mergeCell ref="B41:C41"/>
    <mergeCell ref="B2:C2"/>
    <mergeCell ref="B18:E19"/>
    <mergeCell ref="B74:E75"/>
    <mergeCell ref="B80:E81"/>
    <mergeCell ref="B34:E35"/>
    <mergeCell ref="B25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</vt:lpstr>
      <vt:lpstr>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Andrés Vega López (felipe.vega.l)</dc:creator>
  <cp:lastModifiedBy>Felipe Andrés Vega López (felipe.vega.l)</cp:lastModifiedBy>
  <dcterms:created xsi:type="dcterms:W3CDTF">2025-07-01T22:07:37Z</dcterms:created>
  <dcterms:modified xsi:type="dcterms:W3CDTF">2025-07-04T00:18:41Z</dcterms:modified>
</cp:coreProperties>
</file>