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lllanos\Downloads\"/>
    </mc:Choice>
  </mc:AlternateContent>
  <xr:revisionPtr revIDLastSave="0" documentId="13_ncr:1_{F4C0E018-564C-4642-8FDE-B16DA7CD7118}" xr6:coauthVersionLast="47" xr6:coauthVersionMax="47" xr10:uidLastSave="{00000000-0000-0000-0000-000000000000}"/>
  <bookViews>
    <workbookView xWindow="-108" yWindow="-108" windowWidth="23256" windowHeight="14016" activeTab="1" xr2:uid="{D83804FF-C495-004E-98AB-DFA2FD707D6B}"/>
  </bookViews>
  <sheets>
    <sheet name="P1" sheetId="1" r:id="rId1"/>
    <sheet name="P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2" i="2" l="1"/>
  <c r="A172" i="2"/>
  <c r="B171" i="2"/>
  <c r="A171" i="2"/>
  <c r="B170" i="2"/>
  <c r="A170" i="2"/>
  <c r="B169" i="2"/>
  <c r="A169" i="2"/>
  <c r="B168" i="2"/>
  <c r="A168" i="2"/>
  <c r="C149" i="2"/>
  <c r="F149" i="2"/>
  <c r="E150" i="2"/>
  <c r="F150" i="2" s="1"/>
  <c r="F158" i="2" s="1"/>
  <c r="B138" i="2"/>
  <c r="B143" i="2"/>
  <c r="C143" i="2" s="1"/>
  <c r="B142" i="2"/>
  <c r="C142" i="2" s="1"/>
  <c r="F141" i="2" s="1"/>
  <c r="B158" i="2" s="1"/>
  <c r="B141" i="2"/>
  <c r="B140" i="2"/>
  <c r="B139" i="2"/>
  <c r="A143" i="2"/>
  <c r="A142" i="2"/>
  <c r="A141" i="2"/>
  <c r="A140" i="2"/>
  <c r="A139" i="2"/>
  <c r="C140" i="2" l="1"/>
  <c r="C141" i="2"/>
  <c r="F140" i="2" s="1"/>
  <c r="B157" i="2" s="1"/>
  <c r="C150" i="2"/>
  <c r="F155" i="2"/>
  <c r="F156" i="2"/>
  <c r="F157" i="2"/>
  <c r="C139" i="2"/>
  <c r="F138" i="2" s="1"/>
  <c r="B155" i="2" s="1"/>
  <c r="F159" i="2"/>
  <c r="F139" i="2" l="1"/>
  <c r="B156" i="2" s="1"/>
  <c r="C158" i="2"/>
  <c r="C157" i="2"/>
  <c r="C170" i="2" s="1"/>
  <c r="C156" i="2"/>
  <c r="C169" i="2" s="1"/>
  <c r="C155" i="2"/>
  <c r="C168" i="2" s="1"/>
  <c r="C172" i="2" l="1"/>
  <c r="C171" i="2"/>
  <c r="D149" i="2" l="1"/>
  <c r="D150" i="2" s="1"/>
  <c r="D155" i="2" l="1"/>
  <c r="E155" i="2" s="1"/>
  <c r="D157" i="2"/>
  <c r="E157" i="2" s="1"/>
  <c r="D158" i="2"/>
  <c r="E158" i="2" s="1"/>
  <c r="D156" i="2"/>
  <c r="E156" i="2" s="1"/>
  <c r="E40" i="2"/>
  <c r="C63" i="2" s="1"/>
  <c r="E41" i="2"/>
  <c r="C64" i="2" s="1"/>
  <c r="E42" i="2"/>
  <c r="C65" i="2" s="1"/>
  <c r="E43" i="2"/>
  <c r="C66" i="2" s="1"/>
  <c r="E44" i="2"/>
  <c r="C67" i="2" s="1"/>
  <c r="E45" i="2"/>
  <c r="C68" i="2" s="1"/>
  <c r="E46" i="2"/>
  <c r="C69" i="2" s="1"/>
  <c r="E47" i="2"/>
  <c r="C70" i="2" s="1"/>
  <c r="E48" i="2"/>
  <c r="C71" i="2" s="1"/>
  <c r="E39" i="2"/>
  <c r="C62" i="2" s="1"/>
  <c r="E159" i="2" l="1"/>
  <c r="E161" i="2" s="1"/>
  <c r="E65" i="2"/>
  <c r="D65" i="2"/>
  <c r="E71" i="2"/>
  <c r="D71" i="2"/>
  <c r="F71" i="2" s="1"/>
  <c r="E63" i="2"/>
  <c r="D63" i="2"/>
  <c r="F63" i="2" s="1"/>
  <c r="C79" i="2" s="1"/>
  <c r="E79" i="2" s="1"/>
  <c r="E66" i="2"/>
  <c r="D66" i="2"/>
  <c r="E62" i="2"/>
  <c r="D62" i="2"/>
  <c r="F62" i="2" s="1"/>
  <c r="E70" i="2"/>
  <c r="D70" i="2"/>
  <c r="F70" i="2" s="1"/>
  <c r="E67" i="2"/>
  <c r="D67" i="2"/>
  <c r="E64" i="2"/>
  <c r="D64" i="2"/>
  <c r="F64" i="2" s="1"/>
  <c r="E69" i="2"/>
  <c r="D69" i="2"/>
  <c r="F69" i="2" s="1"/>
  <c r="E68" i="2"/>
  <c r="D68" i="2"/>
  <c r="F44" i="2"/>
  <c r="F43" i="2"/>
  <c r="F42" i="2"/>
  <c r="F41" i="2"/>
  <c r="F40" i="2"/>
  <c r="F39" i="2"/>
  <c r="C85" i="2" l="1"/>
  <c r="E85" i="2" s="1"/>
  <c r="C78" i="2"/>
  <c r="E78" i="2" s="1"/>
  <c r="C80" i="2"/>
  <c r="E80" i="2" s="1"/>
  <c r="E163" i="2"/>
  <c r="G156" i="2"/>
  <c r="H156" i="2" s="1"/>
  <c r="I156" i="2" s="1"/>
  <c r="G157" i="2"/>
  <c r="H157" i="2" s="1"/>
  <c r="I157" i="2" s="1"/>
  <c r="G158" i="2"/>
  <c r="H158" i="2" s="1"/>
  <c r="I158" i="2" s="1"/>
  <c r="G155" i="2"/>
  <c r="F66" i="2"/>
  <c r="C82" i="2" s="1"/>
  <c r="E82" i="2" s="1"/>
  <c r="F68" i="2"/>
  <c r="C84" i="2" s="1"/>
  <c r="E84" i="2" s="1"/>
  <c r="F67" i="2"/>
  <c r="C83" i="2" s="1"/>
  <c r="E83" i="2" s="1"/>
  <c r="F65" i="2"/>
  <c r="C81" i="2" s="1"/>
  <c r="E81" i="2" s="1"/>
  <c r="C86" i="2"/>
  <c r="E86" i="2" s="1"/>
  <c r="C87" i="2"/>
  <c r="E87" i="2" s="1"/>
  <c r="F46" i="2"/>
  <c r="F45" i="2"/>
  <c r="H155" i="2" l="1"/>
  <c r="I155" i="2" s="1"/>
  <c r="I159" i="2" s="1"/>
  <c r="G159" i="2"/>
  <c r="H159" i="2" s="1"/>
  <c r="J157" i="2"/>
  <c r="K157" i="2" s="1"/>
  <c r="L157" i="2" s="1"/>
  <c r="J158" i="2"/>
  <c r="K158" i="2" s="1"/>
  <c r="L158" i="2" s="1"/>
  <c r="J155" i="2"/>
  <c r="K155" i="2" s="1"/>
  <c r="J156" i="2"/>
  <c r="K156" i="2" s="1"/>
  <c r="L156" i="2" s="1"/>
  <c r="F47" i="2"/>
  <c r="K159" i="2" l="1"/>
  <c r="L155" i="2"/>
  <c r="L159" i="2" s="1"/>
  <c r="F48" i="2"/>
  <c r="A92" i="1" l="1"/>
  <c r="A91" i="1"/>
  <c r="M68" i="1"/>
  <c r="J68" i="1"/>
  <c r="J69" i="1" s="1"/>
  <c r="M69" i="1" s="1"/>
  <c r="B71" i="1"/>
  <c r="E71" i="1" s="1"/>
  <c r="E34" i="1"/>
  <c r="B53" i="1" s="1"/>
  <c r="B34" i="1"/>
  <c r="B35" i="1"/>
  <c r="B33" i="1"/>
  <c r="B72" i="1" l="1"/>
  <c r="E72" i="1" s="1"/>
  <c r="E35" i="1"/>
  <c r="B52" i="1" s="1"/>
  <c r="B37" i="1"/>
  <c r="J70" i="1" s="1"/>
  <c r="J74" i="1" s="1"/>
  <c r="E36" i="1"/>
  <c r="A90" i="1" s="1"/>
  <c r="B42" i="1" l="1"/>
  <c r="B57" i="1" s="1"/>
  <c r="B58" i="1" s="1"/>
  <c r="B73" i="1"/>
  <c r="B76" i="1" s="1"/>
  <c r="K76" i="1"/>
  <c r="C92" i="1" s="1"/>
  <c r="J76" i="1"/>
  <c r="B92" i="1" s="1"/>
  <c r="C62" i="1"/>
  <c r="C90" i="1" s="1"/>
  <c r="B62" i="1"/>
  <c r="B90" i="1" s="1"/>
  <c r="C79" i="1" l="1"/>
  <c r="C91" i="1" s="1"/>
  <c r="B79" i="1"/>
  <c r="B91" i="1" s="1"/>
</calcChain>
</file>

<file path=xl/sharedStrings.xml><?xml version="1.0" encoding="utf-8"?>
<sst xmlns="http://schemas.openxmlformats.org/spreadsheetml/2006/main" count="176" uniqueCount="122">
  <si>
    <t>PAUTA CTP 4</t>
  </si>
  <si>
    <t>ACTIVOS</t>
  </si>
  <si>
    <t>PASIVOS Y PATRIMONIO</t>
  </si>
  <si>
    <t>Active Circulante</t>
  </si>
  <si>
    <t>Active Fijo</t>
  </si>
  <si>
    <t>Total</t>
  </si>
  <si>
    <t>Bonos</t>
  </si>
  <si>
    <t>Patrimonio</t>
  </si>
  <si>
    <t>BETA EMPRESAS QUE TRANSAN EN BOLSA</t>
  </si>
  <si>
    <t>EMPRESA</t>
  </si>
  <si>
    <t>Anglo</t>
  </si>
  <si>
    <t>BHP</t>
  </si>
  <si>
    <t>Antofagasta</t>
  </si>
  <si>
    <t>Beta</t>
  </si>
  <si>
    <t>Tasa Impositiva</t>
  </si>
  <si>
    <t>Ratio D/E</t>
  </si>
  <si>
    <t>DATOS ENUNCIADO</t>
  </si>
  <si>
    <t>Deuda</t>
  </si>
  <si>
    <t>BBB</t>
  </si>
  <si>
    <t>Volatilidad del retorno de mercado</t>
  </si>
  <si>
    <t>Valor de mercado</t>
  </si>
  <si>
    <t>Clasificación</t>
  </si>
  <si>
    <t>Rm</t>
  </si>
  <si>
    <t>Rf</t>
  </si>
  <si>
    <t>Empresa</t>
  </si>
  <si>
    <t>Bu</t>
  </si>
  <si>
    <t>Bu Promedio</t>
  </si>
  <si>
    <t>Estructura de Capital Prime Cobre</t>
  </si>
  <si>
    <t>D</t>
  </si>
  <si>
    <t>Valor de mercado (V)</t>
  </si>
  <si>
    <t>Deuda (D)</t>
  </si>
  <si>
    <t>Patrimonio (E)</t>
  </si>
  <si>
    <t>Luego calculamos el Beta apalancado de Prime Cobre con la fórmula</t>
  </si>
  <si>
    <t>Bl</t>
  </si>
  <si>
    <t>Con esto se observa que Prime Cobre tiene un beta mayor que el de mercado, esto significa que tiene un riesgo sistemático mayor.</t>
  </si>
  <si>
    <t>Para calcular el WACC usamos:</t>
  </si>
  <si>
    <t>E/V</t>
  </si>
  <si>
    <t>D/V</t>
  </si>
  <si>
    <t>Ahora para calcular Re usamos CAPM</t>
  </si>
  <si>
    <t>Notar que Be = Bl por MM</t>
  </si>
  <si>
    <t>Be</t>
  </si>
  <si>
    <t>Re</t>
  </si>
  <si>
    <t>En cuanto a Rd:</t>
  </si>
  <si>
    <t>Es necesario justificar el por qué se usa dicha tasa</t>
  </si>
  <si>
    <t>Si escogen Rd = 5,9% sin hacer discusión pierden 2 puntos</t>
  </si>
  <si>
    <t>Si escogen Rd = 7,1% sin hacer discusión pierden 1 puntos</t>
  </si>
  <si>
    <t>Discusión: Se puede decir que Rd= 5,9% ya que rf+ 169 spreads =5,9%, clasificación de empresa BBB. Por otro lado al hacer el cálculo de la estructura de capital, Prime Cobre tiene un D/V = 0,64 que corresponde a una clasificación tipo BB y por ende rd= 7,1%</t>
  </si>
  <si>
    <t>Rd</t>
  </si>
  <si>
    <t>WACC</t>
  </si>
  <si>
    <t>Debido al cambio en su estructura de capital, debemos calcular nuevamente Re para así calcular el nuevo WACC</t>
  </si>
  <si>
    <t>D/E</t>
  </si>
  <si>
    <t>Bl'</t>
  </si>
  <si>
    <t>Este sería nuestro Be'</t>
  </si>
  <si>
    <t>Utilizando CAPM obtenemos Re'</t>
  </si>
  <si>
    <t>Re'</t>
  </si>
  <si>
    <t>E</t>
  </si>
  <si>
    <t>Para luego calcular nuestro WACC</t>
  </si>
  <si>
    <t>Bl''=Be''</t>
  </si>
  <si>
    <t>Analogamente a c)</t>
  </si>
  <si>
    <t>Re''</t>
  </si>
  <si>
    <t>Compararemos las estructuras y los WACC respectivos</t>
  </si>
  <si>
    <t>WACC (Rd = 5,9)</t>
  </si>
  <si>
    <t>WACC (Rd = 7,1)</t>
  </si>
  <si>
    <t xml:space="preserve">Con esto se observa que la estructura original es la óptima </t>
  </si>
  <si>
    <t>WACC correspondiente 9,7% o 10,34%</t>
  </si>
  <si>
    <t>De esta forma se obtiene la siguiente tabla:</t>
  </si>
  <si>
    <t>TK</t>
  </si>
  <si>
    <t>r_f</t>
  </si>
  <si>
    <t>c-y</t>
  </si>
  <si>
    <t>CBQ24</t>
  </si>
  <si>
    <t>CBU24</t>
  </si>
  <si>
    <t>CBZ24</t>
  </si>
  <si>
    <t>CBM25</t>
  </si>
  <si>
    <t>CBZ25</t>
  </si>
  <si>
    <t>CBM26</t>
  </si>
  <si>
    <t>CBZ26</t>
  </si>
  <si>
    <t>CBM27</t>
  </si>
  <si>
    <t>CBZ27</t>
  </si>
  <si>
    <t>CBZ29</t>
  </si>
  <si>
    <t>Brent</t>
  </si>
  <si>
    <t>Spot</t>
  </si>
  <si>
    <t>Plazo (años)</t>
  </si>
  <si>
    <t>Costo:</t>
  </si>
  <si>
    <t>USD/AÑO</t>
  </si>
  <si>
    <t>P</t>
  </si>
  <si>
    <t>Fecha</t>
  </si>
  <si>
    <t>Distribuyendo obtenemos los valores presentados en la tabla:</t>
  </si>
  <si>
    <t>(1+r)^t</t>
  </si>
  <si>
    <t>VF Costos</t>
  </si>
  <si>
    <t>S*(1+r)^t</t>
  </si>
  <si>
    <t>VF y</t>
  </si>
  <si>
    <t>C-Y</t>
  </si>
  <si>
    <t>De esta forma el costo total sería:</t>
  </si>
  <si>
    <t>Toneladas</t>
  </si>
  <si>
    <t>IFO</t>
  </si>
  <si>
    <t>Semestre</t>
  </si>
  <si>
    <t>1H2025</t>
  </si>
  <si>
    <t>2H2025</t>
  </si>
  <si>
    <t>1H2026</t>
  </si>
  <si>
    <t>2H2026</t>
  </si>
  <si>
    <t>Costo Comb</t>
  </si>
  <si>
    <t>CF</t>
  </si>
  <si>
    <t>toneladas</t>
  </si>
  <si>
    <t>IFO (futuro)</t>
  </si>
  <si>
    <t>Tarifa Base</t>
  </si>
  <si>
    <t>Costo Total</t>
  </si>
  <si>
    <t>USD/t</t>
  </si>
  <si>
    <t>Recaudacón</t>
  </si>
  <si>
    <t>Diferencia</t>
  </si>
  <si>
    <t>VP</t>
  </si>
  <si>
    <t>Tarifa Ajustada</t>
  </si>
  <si>
    <t>Ajuste para tarifa plana</t>
  </si>
  <si>
    <t>Rec. Aj.</t>
  </si>
  <si>
    <t>Dif. Aj</t>
  </si>
  <si>
    <t>VP Aj</t>
  </si>
  <si>
    <t>Embarques</t>
  </si>
  <si>
    <t>Se calcula numéricamente de tal forma que el VP de las diferencia en ingreso por tarifa y costo sea 0.</t>
  </si>
  <si>
    <t>Por Semestre</t>
  </si>
  <si>
    <t>Toytal</t>
  </si>
  <si>
    <t>Días Totales</t>
  </si>
  <si>
    <t>Dias Nav.</t>
  </si>
  <si>
    <t>Posición de Barriles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</si>
</sst>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43" formatCode="_ * #,##0.00_ ;_ * \-#,##0.00_ ;_ * &quot;-&quot;??_ ;_ @_ "/>
    <numFmt numFmtId="164" formatCode="0.0000"/>
    <numFmt numFmtId="165" formatCode="0.0000%"/>
    <numFmt numFmtId="166" formatCode="0.000%"/>
    <numFmt numFmtId="167" formatCode="mm/yyyy"/>
    <numFmt numFmtId="168" formatCode="_ * #,##0.00_ ;_ * \-#,##0.00_ ;_ * &quot;-&quot;_ ;_ @_ "/>
    <numFmt numFmtId="171" formatCode="_ * #,##0.000_ ;_ * \-#,##0.000_ ;_ * &quot;-&quot;_ ;_ @_ "/>
    <numFmt numFmtId="172" formatCode="_ * #,##0.0000_ ;_ * \-#,##0.0000_ ;_ * &quot;-&quot;_ ;_ @_ "/>
    <numFmt numFmtId="175" formatCode="_ * #,##0.0000_ ;_ * \-#,##0.0000_ ;_ * &quot;-&quot;??_ ;_ @_ "/>
    <numFmt numFmtId="178" formatCode="0.000000"/>
    <numFmt numFmtId="180" formatCode="_ * #,##0_ ;_ * \-#,##0_ ;_ * &quot;-&quot;??_ ;_ @_ "/>
  </numFmts>
  <fonts count="8">
    <font>
      <sz val="12"/>
      <color theme="1"/>
      <name val="Aptos Narrow"/>
      <family val="2"/>
      <scheme val="minor"/>
    </font>
    <font>
      <sz val="12"/>
      <color theme="1"/>
      <name val="Aptos Narrow"/>
      <family val="2"/>
      <scheme val="minor"/>
    </font>
    <font>
      <sz val="22"/>
      <color theme="1"/>
      <name val="Aptos Narrow (Cuerpo)"/>
    </font>
    <font>
      <sz val="12"/>
      <color theme="1"/>
      <name val="Calibri"/>
      <family val="2"/>
    </font>
    <font>
      <b/>
      <sz val="11"/>
      <color theme="1"/>
      <name val="Aptos Narrow"/>
      <family val="2"/>
      <scheme val="minor"/>
    </font>
    <font>
      <sz val="11"/>
      <color rgb="FF000000"/>
      <name val="Aptos Narrow"/>
      <family val="2"/>
      <scheme val="minor"/>
    </font>
    <font>
      <sz val="11"/>
      <color theme="1"/>
      <name val="Aptos Narrow"/>
      <scheme val="minor"/>
    </font>
    <font>
      <b/>
      <sz val="11"/>
      <color rgb="FF000000"/>
      <name val="Aptos Narrow"/>
      <family val="2"/>
      <scheme val="minor"/>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1" fontId="1" fillId="0" borderId="0" applyFont="0" applyFill="0" applyBorder="0" applyAlignment="0" applyProtection="0"/>
  </cellStyleXfs>
  <cellXfs count="89">
    <xf numFmtId="0" fontId="0" fillId="0" borderId="0" xfId="0"/>
    <xf numFmtId="0" fontId="3" fillId="0" borderId="0" xfId="0" applyFont="1"/>
    <xf numFmtId="0" fontId="3" fillId="0" borderId="1" xfId="0" applyFont="1" applyBorder="1"/>
    <xf numFmtId="0" fontId="0" fillId="0" borderId="1" xfId="0" applyBorder="1"/>
    <xf numFmtId="9" fontId="0" fillId="0" borderId="0" xfId="0" applyNumberFormat="1"/>
    <xf numFmtId="0" fontId="4" fillId="0" borderId="2" xfId="0" applyFont="1" applyBorder="1"/>
    <xf numFmtId="10" fontId="0" fillId="0" borderId="0" xfId="0" applyNumberFormat="1"/>
    <xf numFmtId="164" fontId="0" fillId="0" borderId="0" xfId="0" applyNumberFormat="1"/>
    <xf numFmtId="0" fontId="0" fillId="2" borderId="0" xfId="0" applyFill="1"/>
    <xf numFmtId="164" fontId="0" fillId="2" borderId="0" xfId="0" applyNumberFormat="1" applyFill="1"/>
    <xf numFmtId="165" fontId="0" fillId="0" borderId="0" xfId="0" applyNumberFormat="1"/>
    <xf numFmtId="165" fontId="0" fillId="2" borderId="0" xfId="0" applyNumberFormat="1" applyFill="1"/>
    <xf numFmtId="2" fontId="0" fillId="0" borderId="0" xfId="0" applyNumberFormat="1"/>
    <xf numFmtId="0" fontId="4" fillId="0" borderId="4" xfId="0" applyFont="1" applyBorder="1"/>
    <xf numFmtId="0" fontId="4" fillId="0" borderId="6" xfId="0" applyFont="1" applyBorder="1" applyAlignment="1">
      <alignment horizontal="center"/>
    </xf>
    <xf numFmtId="0" fontId="4" fillId="0" borderId="5" xfId="0" applyFont="1" applyBorder="1" applyAlignment="1">
      <alignment horizontal="center"/>
    </xf>
    <xf numFmtId="10" fontId="0" fillId="0" borderId="1" xfId="0" applyNumberFormat="1" applyBorder="1"/>
    <xf numFmtId="10" fontId="0" fillId="0" borderId="1" xfId="1" applyNumberFormat="1" applyFont="1" applyBorder="1"/>
    <xf numFmtId="0" fontId="4" fillId="0" borderId="7" xfId="0" applyFont="1" applyBorder="1"/>
    <xf numFmtId="0" fontId="0" fillId="0" borderId="8" xfId="0" applyBorder="1"/>
    <xf numFmtId="10" fontId="0" fillId="0" borderId="8" xfId="1" applyNumberFormat="1" applyFont="1" applyBorder="1"/>
    <xf numFmtId="0" fontId="4" fillId="0" borderId="10" xfId="0" applyFont="1" applyBorder="1" applyAlignment="1">
      <alignment horizontal="center"/>
    </xf>
    <xf numFmtId="0" fontId="4" fillId="0" borderId="11" xfId="0" applyFont="1" applyBorder="1" applyAlignment="1">
      <alignment horizontal="center"/>
    </xf>
    <xf numFmtId="0" fontId="5" fillId="0" borderId="0" xfId="0" applyFont="1"/>
    <xf numFmtId="14" fontId="5" fillId="0" borderId="0" xfId="0" applyNumberFormat="1" applyFont="1"/>
    <xf numFmtId="166" fontId="0" fillId="2" borderId="3" xfId="0" applyNumberFormat="1" applyFill="1" applyBorder="1"/>
    <xf numFmtId="0" fontId="4" fillId="0" borderId="12" xfId="0" applyFont="1" applyBorder="1"/>
    <xf numFmtId="167" fontId="6" fillId="0" borderId="13" xfId="0" applyNumberFormat="1" applyFont="1" applyBorder="1"/>
    <xf numFmtId="167" fontId="6" fillId="0" borderId="14" xfId="0" applyNumberFormat="1" applyFont="1" applyBorder="1"/>
    <xf numFmtId="2" fontId="0" fillId="0" borderId="1" xfId="0" applyNumberFormat="1" applyBorder="1"/>
    <xf numFmtId="0" fontId="0" fillId="0" borderId="4" xfId="0" applyBorder="1"/>
    <xf numFmtId="0" fontId="0" fillId="0" borderId="6" xfId="0" applyBorder="1"/>
    <xf numFmtId="0" fontId="0" fillId="0" borderId="5" xfId="0" applyBorder="1"/>
    <xf numFmtId="0" fontId="0" fillId="0" borderId="2" xfId="0" applyBorder="1"/>
    <xf numFmtId="2" fontId="0" fillId="0" borderId="3" xfId="0" applyNumberFormat="1" applyBorder="1"/>
    <xf numFmtId="0" fontId="0" fillId="0" borderId="7" xfId="0" applyBorder="1"/>
    <xf numFmtId="10" fontId="0" fillId="0" borderId="8" xfId="0" applyNumberFormat="1" applyBorder="1"/>
    <xf numFmtId="2" fontId="0" fillId="0" borderId="8" xfId="0" applyNumberFormat="1" applyBorder="1"/>
    <xf numFmtId="2" fontId="0" fillId="0" borderId="9" xfId="0" applyNumberFormat="1" applyBorder="1"/>
    <xf numFmtId="0" fontId="0" fillId="0" borderId="5" xfId="0" applyBorder="1" applyAlignment="1">
      <alignment horizontal="center" vertical="center" wrapText="1"/>
    </xf>
    <xf numFmtId="2" fontId="0" fillId="0" borderId="16" xfId="0" applyNumberFormat="1" applyBorder="1"/>
    <xf numFmtId="2" fontId="0" fillId="0" borderId="17" xfId="0" applyNumberFormat="1" applyBorder="1"/>
    <xf numFmtId="0" fontId="2" fillId="0" borderId="0" xfId="0" applyFont="1" applyAlignment="1">
      <alignment horizontal="center"/>
    </xf>
    <xf numFmtId="0" fontId="0" fillId="0" borderId="0" xfId="0" applyAlignment="1">
      <alignment horizontal="center"/>
    </xf>
    <xf numFmtId="0" fontId="3" fillId="0" borderId="1" xfId="0" applyFont="1" applyBorder="1" applyAlignment="1">
      <alignment horizontal="center"/>
    </xf>
    <xf numFmtId="0" fontId="5" fillId="0" borderId="0" xfId="0" applyFont="1" applyAlignment="1">
      <alignment horizontal="center"/>
    </xf>
    <xf numFmtId="0" fontId="7" fillId="0" borderId="0" xfId="0" applyFont="1"/>
    <xf numFmtId="0" fontId="0" fillId="0" borderId="15" xfId="0" applyBorder="1" applyAlignment="1">
      <alignment horizontal="center"/>
    </xf>
    <xf numFmtId="41" fontId="0" fillId="0" borderId="0" xfId="2" applyFont="1"/>
    <xf numFmtId="167" fontId="0" fillId="0" borderId="0" xfId="0" applyNumberFormat="1"/>
    <xf numFmtId="43" fontId="0" fillId="0" borderId="0" xfId="0" applyNumberFormat="1"/>
    <xf numFmtId="168" fontId="0" fillId="0" borderId="0" xfId="0" applyNumberFormat="1"/>
    <xf numFmtId="41" fontId="0" fillId="0" borderId="0" xfId="0" applyNumberFormat="1"/>
    <xf numFmtId="9" fontId="0" fillId="0" borderId="0" xfId="1" applyFont="1"/>
    <xf numFmtId="171" fontId="0" fillId="0" borderId="0" xfId="0" applyNumberFormat="1"/>
    <xf numFmtId="172" fontId="0" fillId="0" borderId="0" xfId="0" applyNumberFormat="1"/>
    <xf numFmtId="0" fontId="0" fillId="0" borderId="18" xfId="0" applyBorder="1"/>
    <xf numFmtId="0" fontId="0" fillId="0" borderId="18" xfId="0" applyBorder="1" applyAlignment="1">
      <alignment horizontal="center"/>
    </xf>
    <xf numFmtId="0" fontId="0" fillId="0" borderId="0" xfId="0" applyFill="1" applyBorder="1" applyAlignment="1">
      <alignment horizontal="center"/>
    </xf>
    <xf numFmtId="175" fontId="0" fillId="0" borderId="0" xfId="0" applyNumberFormat="1"/>
    <xf numFmtId="178" fontId="0" fillId="0" borderId="0" xfId="0" applyNumberFormat="1"/>
    <xf numFmtId="0" fontId="0" fillId="0" borderId="0" xfId="0" applyBorder="1"/>
    <xf numFmtId="0" fontId="0" fillId="0" borderId="0" xfId="0" applyBorder="1" applyAlignment="1">
      <alignment horizontal="center"/>
    </xf>
    <xf numFmtId="41" fontId="0" fillId="0" borderId="19" xfId="2" applyFont="1" applyBorder="1"/>
    <xf numFmtId="41" fontId="0" fillId="0" borderId="20" xfId="2" applyFont="1" applyBorder="1"/>
    <xf numFmtId="41" fontId="0" fillId="0" borderId="20" xfId="0" applyNumberFormat="1" applyBorder="1"/>
    <xf numFmtId="41" fontId="0" fillId="0" borderId="21" xfId="0" applyNumberFormat="1" applyBorder="1"/>
    <xf numFmtId="41" fontId="0" fillId="0" borderId="22" xfId="0" applyNumberFormat="1" applyBorder="1"/>
    <xf numFmtId="41" fontId="0" fillId="0" borderId="0" xfId="2" applyFont="1" applyBorder="1"/>
    <xf numFmtId="41" fontId="0" fillId="0" borderId="0" xfId="0" applyNumberFormat="1" applyBorder="1"/>
    <xf numFmtId="41" fontId="0" fillId="0" borderId="23" xfId="0" applyNumberFormat="1" applyBorder="1"/>
    <xf numFmtId="41" fontId="0" fillId="0" borderId="24" xfId="0" applyNumberFormat="1" applyBorder="1"/>
    <xf numFmtId="41" fontId="0" fillId="0" borderId="18" xfId="2" applyFont="1" applyBorder="1"/>
    <xf numFmtId="41" fontId="0" fillId="0" borderId="18" xfId="0" applyNumberFormat="1" applyBorder="1"/>
    <xf numFmtId="41" fontId="0" fillId="0" borderId="25" xfId="0" applyNumberFormat="1" applyBorder="1"/>
    <xf numFmtId="41" fontId="0" fillId="0" borderId="19" xfId="0" applyNumberFormat="1" applyBorder="1"/>
    <xf numFmtId="180" fontId="0" fillId="0" borderId="20" xfId="0" applyNumberFormat="1" applyBorder="1"/>
    <xf numFmtId="180" fontId="0" fillId="0" borderId="21" xfId="0" applyNumberFormat="1" applyBorder="1"/>
    <xf numFmtId="180" fontId="0" fillId="0" borderId="0" xfId="0" applyNumberFormat="1" applyBorder="1"/>
    <xf numFmtId="180" fontId="0" fillId="0" borderId="23" xfId="0" applyNumberFormat="1" applyBorder="1"/>
    <xf numFmtId="180" fontId="0" fillId="0" borderId="18" xfId="0" applyNumberFormat="1" applyBorder="1"/>
    <xf numFmtId="180" fontId="0" fillId="0" borderId="25" xfId="0" applyNumberFormat="1" applyBorder="1"/>
    <xf numFmtId="180" fontId="0" fillId="0" borderId="0" xfId="0" applyNumberFormat="1"/>
    <xf numFmtId="180" fontId="0" fillId="2" borderId="0" xfId="0" applyNumberFormat="1" applyFill="1"/>
    <xf numFmtId="168" fontId="0" fillId="0" borderId="0" xfId="2" applyNumberFormat="1" applyFont="1"/>
    <xf numFmtId="41" fontId="0" fillId="0" borderId="21" xfId="2" applyFont="1" applyBorder="1"/>
    <xf numFmtId="41" fontId="0" fillId="0" borderId="23" xfId="2" applyFont="1" applyBorder="1"/>
    <xf numFmtId="41" fontId="0" fillId="0" borderId="25" xfId="2" applyFont="1" applyBorder="1"/>
    <xf numFmtId="0" fontId="0" fillId="0" borderId="18" xfId="0" applyBorder="1" applyAlignment="1">
      <alignment horizont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7</xdr:col>
      <xdr:colOff>444500</xdr:colOff>
      <xdr:row>14</xdr:row>
      <xdr:rowOff>114300</xdr:rowOff>
    </xdr:to>
    <xdr:pic>
      <xdr:nvPicPr>
        <xdr:cNvPr id="2" name="Imagen 1">
          <a:extLst>
            <a:ext uri="{FF2B5EF4-FFF2-40B4-BE49-F238E27FC236}">
              <a16:creationId xmlns:a16="http://schemas.microsoft.com/office/drawing/2014/main" id="{F03EB750-DBC6-FCAD-53EA-0903F86C38D0}"/>
            </a:ext>
          </a:extLst>
        </xdr:cNvPr>
        <xdr:cNvPicPr>
          <a:picLocks noChangeAspect="1"/>
        </xdr:cNvPicPr>
      </xdr:nvPicPr>
      <xdr:blipFill>
        <a:blip xmlns:r="http://schemas.openxmlformats.org/officeDocument/2006/relationships" r:embed="rId1"/>
        <a:stretch>
          <a:fillRect/>
        </a:stretch>
      </xdr:blipFill>
      <xdr:spPr>
        <a:xfrm>
          <a:off x="0" y="1219200"/>
          <a:ext cx="7759700" cy="1739900"/>
        </a:xfrm>
        <a:prstGeom prst="rect">
          <a:avLst/>
        </a:prstGeom>
      </xdr:spPr>
    </xdr:pic>
    <xdr:clientData/>
  </xdr:twoCellAnchor>
  <xdr:twoCellAnchor editAs="oneCell">
    <xdr:from>
      <xdr:col>0</xdr:col>
      <xdr:colOff>0</xdr:colOff>
      <xdr:row>23</xdr:row>
      <xdr:rowOff>0</xdr:rowOff>
    </xdr:from>
    <xdr:to>
      <xdr:col>6</xdr:col>
      <xdr:colOff>746126</xdr:colOff>
      <xdr:row>25</xdr:row>
      <xdr:rowOff>62867</xdr:rowOff>
    </xdr:to>
    <xdr:pic>
      <xdr:nvPicPr>
        <xdr:cNvPr id="3" name="Imagen 2">
          <a:extLst>
            <a:ext uri="{FF2B5EF4-FFF2-40B4-BE49-F238E27FC236}">
              <a16:creationId xmlns:a16="http://schemas.microsoft.com/office/drawing/2014/main" id="{89944696-E2C9-7348-B33E-70B5F04717F4}"/>
            </a:ext>
          </a:extLst>
        </xdr:cNvPr>
        <xdr:cNvPicPr>
          <a:picLocks noChangeAspect="1"/>
        </xdr:cNvPicPr>
      </xdr:nvPicPr>
      <xdr:blipFill>
        <a:blip xmlns:r="http://schemas.openxmlformats.org/officeDocument/2006/relationships" r:embed="rId2"/>
        <a:stretch>
          <a:fillRect/>
        </a:stretch>
      </xdr:blipFill>
      <xdr:spPr>
        <a:xfrm>
          <a:off x="0" y="4673600"/>
          <a:ext cx="7235826" cy="469267"/>
        </a:xfrm>
        <a:prstGeom prst="rect">
          <a:avLst/>
        </a:prstGeom>
      </xdr:spPr>
    </xdr:pic>
    <xdr:clientData/>
  </xdr:twoCellAnchor>
  <xdr:twoCellAnchor>
    <xdr:from>
      <xdr:col>0</xdr:col>
      <xdr:colOff>50800</xdr:colOff>
      <xdr:row>26</xdr:row>
      <xdr:rowOff>127000</xdr:rowOff>
    </xdr:from>
    <xdr:to>
      <xdr:col>9</xdr:col>
      <xdr:colOff>584200</xdr:colOff>
      <xdr:row>29</xdr:row>
      <xdr:rowOff>101600</xdr:rowOff>
    </xdr:to>
    <xdr:sp macro="" textlink="">
      <xdr:nvSpPr>
        <xdr:cNvPr id="4" name="CuadroTexto 3">
          <a:extLst>
            <a:ext uri="{FF2B5EF4-FFF2-40B4-BE49-F238E27FC236}">
              <a16:creationId xmlns:a16="http://schemas.microsoft.com/office/drawing/2014/main" id="{5B85D0AF-FA17-8FAF-3A8A-42721230FF0B}"/>
            </a:ext>
          </a:extLst>
        </xdr:cNvPr>
        <xdr:cNvSpPr txBox="1"/>
      </xdr:nvSpPr>
      <xdr:spPr>
        <a:xfrm>
          <a:off x="50800" y="5410200"/>
          <a:ext cx="9055100" cy="584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Para</a:t>
          </a:r>
          <a:r>
            <a:rPr lang="es-MX" sz="1100" baseline="0"/>
            <a:t> calcular el Beta de la empresa, necesitamos el Beta desapalancado, como este no nos lo dan, calculamos el beta desapalancado de cada empresa y luego el promedio de estos. Este supuesto se puede hacer ya que son empresas similares a PrimeCobre</a:t>
          </a:r>
          <a:endParaRPr lang="es-MX" sz="1100"/>
        </a:p>
      </xdr:txBody>
    </xdr:sp>
    <xdr:clientData/>
  </xdr:twoCellAnchor>
  <xdr:twoCellAnchor editAs="oneCell">
    <xdr:from>
      <xdr:col>9</xdr:col>
      <xdr:colOff>736600</xdr:colOff>
      <xdr:row>14</xdr:row>
      <xdr:rowOff>12700</xdr:rowOff>
    </xdr:from>
    <xdr:to>
      <xdr:col>14</xdr:col>
      <xdr:colOff>119653</xdr:colOff>
      <xdr:row>24</xdr:row>
      <xdr:rowOff>165100</xdr:rowOff>
    </xdr:to>
    <xdr:pic>
      <xdr:nvPicPr>
        <xdr:cNvPr id="5" name="Imagen 4">
          <a:extLst>
            <a:ext uri="{FF2B5EF4-FFF2-40B4-BE49-F238E27FC236}">
              <a16:creationId xmlns:a16="http://schemas.microsoft.com/office/drawing/2014/main" id="{D14B737A-5F5B-2848-932A-C23E7251DA73}"/>
            </a:ext>
          </a:extLst>
        </xdr:cNvPr>
        <xdr:cNvPicPr>
          <a:picLocks noChangeAspect="1"/>
        </xdr:cNvPicPr>
      </xdr:nvPicPr>
      <xdr:blipFill>
        <a:blip xmlns:r="http://schemas.openxmlformats.org/officeDocument/2006/relationships" r:embed="rId3"/>
        <a:stretch>
          <a:fillRect/>
        </a:stretch>
      </xdr:blipFill>
      <xdr:spPr>
        <a:xfrm>
          <a:off x="9258300" y="2857500"/>
          <a:ext cx="4920253" cy="2184400"/>
        </a:xfrm>
        <a:prstGeom prst="rect">
          <a:avLst/>
        </a:prstGeom>
      </xdr:spPr>
    </xdr:pic>
    <xdr:clientData/>
  </xdr:twoCellAnchor>
  <xdr:twoCellAnchor editAs="oneCell">
    <xdr:from>
      <xdr:col>9</xdr:col>
      <xdr:colOff>812800</xdr:colOff>
      <xdr:row>24</xdr:row>
      <xdr:rowOff>38100</xdr:rowOff>
    </xdr:from>
    <xdr:to>
      <xdr:col>13</xdr:col>
      <xdr:colOff>822326</xdr:colOff>
      <xdr:row>29</xdr:row>
      <xdr:rowOff>46853</xdr:rowOff>
    </xdr:to>
    <xdr:pic>
      <xdr:nvPicPr>
        <xdr:cNvPr id="6" name="Imagen 5">
          <a:extLst>
            <a:ext uri="{FF2B5EF4-FFF2-40B4-BE49-F238E27FC236}">
              <a16:creationId xmlns:a16="http://schemas.microsoft.com/office/drawing/2014/main" id="{14445F95-4877-FB4F-AA97-F4AC80966A7F}"/>
            </a:ext>
          </a:extLst>
        </xdr:cNvPr>
        <xdr:cNvPicPr>
          <a:picLocks noChangeAspect="1"/>
        </xdr:cNvPicPr>
      </xdr:nvPicPr>
      <xdr:blipFill>
        <a:blip xmlns:r="http://schemas.openxmlformats.org/officeDocument/2006/relationships" r:embed="rId4"/>
        <a:stretch>
          <a:fillRect/>
        </a:stretch>
      </xdr:blipFill>
      <xdr:spPr>
        <a:xfrm>
          <a:off x="9334500" y="4914900"/>
          <a:ext cx="4721226" cy="1024753"/>
        </a:xfrm>
        <a:prstGeom prst="rect">
          <a:avLst/>
        </a:prstGeom>
      </xdr:spPr>
    </xdr:pic>
    <xdr:clientData/>
  </xdr:twoCellAnchor>
  <xdr:twoCellAnchor>
    <xdr:from>
      <xdr:col>5</xdr:col>
      <xdr:colOff>152400</xdr:colOff>
      <xdr:row>33</xdr:row>
      <xdr:rowOff>0</xdr:rowOff>
    </xdr:from>
    <xdr:to>
      <xdr:col>10</xdr:col>
      <xdr:colOff>647700</xdr:colOff>
      <xdr:row>34</xdr:row>
      <xdr:rowOff>25400</xdr:rowOff>
    </xdr:to>
    <xdr:sp macro="" textlink="">
      <xdr:nvSpPr>
        <xdr:cNvPr id="7" name="CuadroTexto 6">
          <a:extLst>
            <a:ext uri="{FF2B5EF4-FFF2-40B4-BE49-F238E27FC236}">
              <a16:creationId xmlns:a16="http://schemas.microsoft.com/office/drawing/2014/main" id="{415B36C6-5748-AB66-47AC-04966E911BDD}"/>
            </a:ext>
          </a:extLst>
        </xdr:cNvPr>
        <xdr:cNvSpPr txBox="1"/>
      </xdr:nvSpPr>
      <xdr:spPr>
        <a:xfrm>
          <a:off x="5600700" y="6705600"/>
          <a:ext cx="554990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Por enunciado:</a:t>
          </a:r>
          <a:r>
            <a:rPr lang="es-MX" sz="1100" baseline="0"/>
            <a:t> s</a:t>
          </a:r>
          <a:r>
            <a:rPr lang="es-CL"/>
            <a:t>u deuda se transa en el mercado a un 102,00% de su valor par (o valor contable)</a:t>
          </a:r>
          <a:endParaRPr lang="es-MX" sz="1100"/>
        </a:p>
      </xdr:txBody>
    </xdr:sp>
    <xdr:clientData/>
  </xdr:twoCellAnchor>
  <xdr:twoCellAnchor editAs="oneCell">
    <xdr:from>
      <xdr:col>4</xdr:col>
      <xdr:colOff>228600</xdr:colOff>
      <xdr:row>37</xdr:row>
      <xdr:rowOff>12700</xdr:rowOff>
    </xdr:from>
    <xdr:to>
      <xdr:col>7</xdr:col>
      <xdr:colOff>508000</xdr:colOff>
      <xdr:row>39</xdr:row>
      <xdr:rowOff>177800</xdr:rowOff>
    </xdr:to>
    <xdr:pic>
      <xdr:nvPicPr>
        <xdr:cNvPr id="8" name="Imagen 7">
          <a:extLst>
            <a:ext uri="{FF2B5EF4-FFF2-40B4-BE49-F238E27FC236}">
              <a16:creationId xmlns:a16="http://schemas.microsoft.com/office/drawing/2014/main" id="{DF79C27D-11AB-EA28-1071-6DBFCAEC5377}"/>
            </a:ext>
          </a:extLst>
        </xdr:cNvPr>
        <xdr:cNvPicPr>
          <a:picLocks noChangeAspect="1"/>
        </xdr:cNvPicPr>
      </xdr:nvPicPr>
      <xdr:blipFill>
        <a:blip xmlns:r="http://schemas.openxmlformats.org/officeDocument/2006/relationships" r:embed="rId5"/>
        <a:stretch>
          <a:fillRect/>
        </a:stretch>
      </xdr:blipFill>
      <xdr:spPr>
        <a:xfrm>
          <a:off x="4381500" y="7531100"/>
          <a:ext cx="3225800" cy="571500"/>
        </a:xfrm>
        <a:prstGeom prst="rect">
          <a:avLst/>
        </a:prstGeom>
      </xdr:spPr>
    </xdr:pic>
    <xdr:clientData/>
  </xdr:twoCellAnchor>
  <xdr:twoCellAnchor editAs="oneCell">
    <xdr:from>
      <xdr:col>0</xdr:col>
      <xdr:colOff>0</xdr:colOff>
      <xdr:row>44</xdr:row>
      <xdr:rowOff>0</xdr:rowOff>
    </xdr:from>
    <xdr:to>
      <xdr:col>7</xdr:col>
      <xdr:colOff>366708</xdr:colOff>
      <xdr:row>46</xdr:row>
      <xdr:rowOff>165100</xdr:rowOff>
    </xdr:to>
    <xdr:pic>
      <xdr:nvPicPr>
        <xdr:cNvPr id="9" name="Imagen 8">
          <a:extLst>
            <a:ext uri="{FF2B5EF4-FFF2-40B4-BE49-F238E27FC236}">
              <a16:creationId xmlns:a16="http://schemas.microsoft.com/office/drawing/2014/main" id="{2AE702BE-042C-1A41-8B79-A054642B3EF0}"/>
            </a:ext>
          </a:extLst>
        </xdr:cNvPr>
        <xdr:cNvPicPr>
          <a:picLocks noChangeAspect="1"/>
        </xdr:cNvPicPr>
      </xdr:nvPicPr>
      <xdr:blipFill>
        <a:blip xmlns:r="http://schemas.openxmlformats.org/officeDocument/2006/relationships" r:embed="rId6"/>
        <a:stretch>
          <a:fillRect/>
        </a:stretch>
      </xdr:blipFill>
      <xdr:spPr>
        <a:xfrm>
          <a:off x="0" y="8940800"/>
          <a:ext cx="7681908" cy="571500"/>
        </a:xfrm>
        <a:prstGeom prst="rect">
          <a:avLst/>
        </a:prstGeom>
      </xdr:spPr>
    </xdr:pic>
    <xdr:clientData/>
  </xdr:twoCellAnchor>
  <xdr:twoCellAnchor editAs="oneCell">
    <xdr:from>
      <xdr:col>2</xdr:col>
      <xdr:colOff>50800</xdr:colOff>
      <xdr:row>46</xdr:row>
      <xdr:rowOff>177800</xdr:rowOff>
    </xdr:from>
    <xdr:to>
      <xdr:col>4</xdr:col>
      <xdr:colOff>1079500</xdr:colOff>
      <xdr:row>49</xdr:row>
      <xdr:rowOff>139700</xdr:rowOff>
    </xdr:to>
    <xdr:pic>
      <xdr:nvPicPr>
        <xdr:cNvPr id="10" name="Imagen 9">
          <a:extLst>
            <a:ext uri="{FF2B5EF4-FFF2-40B4-BE49-F238E27FC236}">
              <a16:creationId xmlns:a16="http://schemas.microsoft.com/office/drawing/2014/main" id="{67F6498E-FFFC-DE4C-04F7-723F0CEEE2DE}"/>
            </a:ext>
          </a:extLst>
        </xdr:cNvPr>
        <xdr:cNvPicPr>
          <a:picLocks noChangeAspect="1"/>
        </xdr:cNvPicPr>
      </xdr:nvPicPr>
      <xdr:blipFill>
        <a:blip xmlns:r="http://schemas.openxmlformats.org/officeDocument/2006/relationships" r:embed="rId7"/>
        <a:stretch>
          <a:fillRect/>
        </a:stretch>
      </xdr:blipFill>
      <xdr:spPr>
        <a:xfrm>
          <a:off x="2006600" y="9525000"/>
          <a:ext cx="3225800" cy="571500"/>
        </a:xfrm>
        <a:prstGeom prst="rect">
          <a:avLst/>
        </a:prstGeom>
      </xdr:spPr>
    </xdr:pic>
    <xdr:clientData/>
  </xdr:twoCellAnchor>
  <xdr:twoCellAnchor editAs="oneCell">
    <xdr:from>
      <xdr:col>0</xdr:col>
      <xdr:colOff>0</xdr:colOff>
      <xdr:row>63</xdr:row>
      <xdr:rowOff>0</xdr:rowOff>
    </xdr:from>
    <xdr:to>
      <xdr:col>7</xdr:col>
      <xdr:colOff>292101</xdr:colOff>
      <xdr:row>65</xdr:row>
      <xdr:rowOff>102531</xdr:rowOff>
    </xdr:to>
    <xdr:pic>
      <xdr:nvPicPr>
        <xdr:cNvPr id="11" name="Imagen 10">
          <a:extLst>
            <a:ext uri="{FF2B5EF4-FFF2-40B4-BE49-F238E27FC236}">
              <a16:creationId xmlns:a16="http://schemas.microsoft.com/office/drawing/2014/main" id="{D508B0CE-9F06-F440-B8FD-CF6F3916CED5}"/>
            </a:ext>
          </a:extLst>
        </xdr:cNvPr>
        <xdr:cNvPicPr>
          <a:picLocks noChangeAspect="1"/>
        </xdr:cNvPicPr>
      </xdr:nvPicPr>
      <xdr:blipFill>
        <a:blip xmlns:r="http://schemas.openxmlformats.org/officeDocument/2006/relationships" r:embed="rId8"/>
        <a:stretch>
          <a:fillRect/>
        </a:stretch>
      </xdr:blipFill>
      <xdr:spPr>
        <a:xfrm>
          <a:off x="0" y="12801600"/>
          <a:ext cx="7607301" cy="508931"/>
        </a:xfrm>
        <a:prstGeom prst="rect">
          <a:avLst/>
        </a:prstGeom>
      </xdr:spPr>
    </xdr:pic>
    <xdr:clientData/>
  </xdr:twoCellAnchor>
  <xdr:twoCellAnchor editAs="oneCell">
    <xdr:from>
      <xdr:col>8</xdr:col>
      <xdr:colOff>12700</xdr:colOff>
      <xdr:row>62</xdr:row>
      <xdr:rowOff>127000</xdr:rowOff>
    </xdr:from>
    <xdr:to>
      <xdr:col>13</xdr:col>
      <xdr:colOff>35462</xdr:colOff>
      <xdr:row>64</xdr:row>
      <xdr:rowOff>101600</xdr:rowOff>
    </xdr:to>
    <xdr:pic>
      <xdr:nvPicPr>
        <xdr:cNvPr id="12" name="Imagen 11">
          <a:extLst>
            <a:ext uri="{FF2B5EF4-FFF2-40B4-BE49-F238E27FC236}">
              <a16:creationId xmlns:a16="http://schemas.microsoft.com/office/drawing/2014/main" id="{C6C3231C-FA9E-0F48-BAEA-509235B2F011}"/>
            </a:ext>
          </a:extLst>
        </xdr:cNvPr>
        <xdr:cNvPicPr>
          <a:picLocks noChangeAspect="1"/>
        </xdr:cNvPicPr>
      </xdr:nvPicPr>
      <xdr:blipFill>
        <a:blip xmlns:r="http://schemas.openxmlformats.org/officeDocument/2006/relationships" r:embed="rId9"/>
        <a:stretch>
          <a:fillRect/>
        </a:stretch>
      </xdr:blipFill>
      <xdr:spPr>
        <a:xfrm>
          <a:off x="9080500" y="12725400"/>
          <a:ext cx="5559962" cy="381000"/>
        </a:xfrm>
        <a:prstGeom prst="rect">
          <a:avLst/>
        </a:prstGeom>
      </xdr:spPr>
    </xdr:pic>
    <xdr:clientData/>
  </xdr:twoCellAnchor>
  <xdr:twoCellAnchor editAs="oneCell">
    <xdr:from>
      <xdr:col>0</xdr:col>
      <xdr:colOff>0</xdr:colOff>
      <xdr:row>82</xdr:row>
      <xdr:rowOff>0</xdr:rowOff>
    </xdr:from>
    <xdr:to>
      <xdr:col>7</xdr:col>
      <xdr:colOff>81424</xdr:colOff>
      <xdr:row>84</xdr:row>
      <xdr:rowOff>94588</xdr:rowOff>
    </xdr:to>
    <xdr:pic>
      <xdr:nvPicPr>
        <xdr:cNvPr id="13" name="Imagen 12">
          <a:extLst>
            <a:ext uri="{FF2B5EF4-FFF2-40B4-BE49-F238E27FC236}">
              <a16:creationId xmlns:a16="http://schemas.microsoft.com/office/drawing/2014/main" id="{32E1189E-CF9C-8F49-8C2D-AA78BFA785A8}"/>
            </a:ext>
          </a:extLst>
        </xdr:cNvPr>
        <xdr:cNvPicPr>
          <a:picLocks noChangeAspect="1"/>
        </xdr:cNvPicPr>
      </xdr:nvPicPr>
      <xdr:blipFill>
        <a:blip xmlns:r="http://schemas.openxmlformats.org/officeDocument/2006/relationships" r:embed="rId10"/>
        <a:stretch>
          <a:fillRect/>
        </a:stretch>
      </xdr:blipFill>
      <xdr:spPr>
        <a:xfrm>
          <a:off x="0" y="16662400"/>
          <a:ext cx="7396624" cy="5009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21767</xdr:colOff>
      <xdr:row>22</xdr:row>
      <xdr:rowOff>65559</xdr:rowOff>
    </xdr:to>
    <xdr:pic>
      <xdr:nvPicPr>
        <xdr:cNvPr id="2" name="Imagen 1">
          <a:extLst>
            <a:ext uri="{FF2B5EF4-FFF2-40B4-BE49-F238E27FC236}">
              <a16:creationId xmlns:a16="http://schemas.microsoft.com/office/drawing/2014/main" id="{36B8F391-36BE-CE41-A96E-F72C8D1052BC}"/>
            </a:ext>
          </a:extLst>
        </xdr:cNvPr>
        <xdr:cNvPicPr>
          <a:picLocks noChangeAspect="1"/>
        </xdr:cNvPicPr>
      </xdr:nvPicPr>
      <xdr:blipFill>
        <a:blip xmlns:r="http://schemas.openxmlformats.org/officeDocument/2006/relationships" r:embed="rId1"/>
        <a:stretch>
          <a:fillRect/>
        </a:stretch>
      </xdr:blipFill>
      <xdr:spPr>
        <a:xfrm>
          <a:off x="0" y="0"/>
          <a:ext cx="7451267" cy="4535959"/>
        </a:xfrm>
        <a:prstGeom prst="rect">
          <a:avLst/>
        </a:prstGeom>
      </xdr:spPr>
    </xdr:pic>
    <xdr:clientData/>
  </xdr:twoCellAnchor>
  <xdr:twoCellAnchor>
    <xdr:from>
      <xdr:col>0</xdr:col>
      <xdr:colOff>38100</xdr:colOff>
      <xdr:row>24</xdr:row>
      <xdr:rowOff>12700</xdr:rowOff>
    </xdr:from>
    <xdr:to>
      <xdr:col>8</xdr:col>
      <xdr:colOff>762000</xdr:colOff>
      <xdr:row>27</xdr:row>
      <xdr:rowOff>0</xdr:rowOff>
    </xdr:to>
    <xdr:sp macro="" textlink="">
      <xdr:nvSpPr>
        <xdr:cNvPr id="3" name="CuadroTexto 2">
          <a:extLst>
            <a:ext uri="{FF2B5EF4-FFF2-40B4-BE49-F238E27FC236}">
              <a16:creationId xmlns:a16="http://schemas.microsoft.com/office/drawing/2014/main" id="{6504E3B5-8503-86D2-4241-1D7AD99063BE}"/>
            </a:ext>
          </a:extLst>
        </xdr:cNvPr>
        <xdr:cNvSpPr txBox="1"/>
      </xdr:nvSpPr>
      <xdr:spPr>
        <a:xfrm>
          <a:off x="38100" y="4889500"/>
          <a:ext cx="7327900" cy="596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En primer</a:t>
          </a:r>
          <a:r>
            <a:rPr lang="es-MX" sz="1100" baseline="0"/>
            <a:t> lugar debemos calcular el costo de almacenamiento y los beneficios de mantener stocks de crudo. Para calcularlos se usarán la siguiente fórmula:</a:t>
          </a:r>
          <a:endParaRPr lang="es-MX" sz="1100"/>
        </a:p>
      </xdr:txBody>
    </xdr:sp>
    <xdr:clientData/>
  </xdr:twoCellAnchor>
  <xdr:twoCellAnchor editAs="oneCell">
    <xdr:from>
      <xdr:col>0</xdr:col>
      <xdr:colOff>0</xdr:colOff>
      <xdr:row>28</xdr:row>
      <xdr:rowOff>0</xdr:rowOff>
    </xdr:from>
    <xdr:to>
      <xdr:col>6</xdr:col>
      <xdr:colOff>342343</xdr:colOff>
      <xdr:row>31</xdr:row>
      <xdr:rowOff>193990</xdr:rowOff>
    </xdr:to>
    <xdr:pic>
      <xdr:nvPicPr>
        <xdr:cNvPr id="4" name="Imagen 3">
          <a:extLst>
            <a:ext uri="{FF2B5EF4-FFF2-40B4-BE49-F238E27FC236}">
              <a16:creationId xmlns:a16="http://schemas.microsoft.com/office/drawing/2014/main" id="{2EBB26A8-E8C5-4B46-9152-231C79DEA652}"/>
            </a:ext>
          </a:extLst>
        </xdr:cNvPr>
        <xdr:cNvPicPr>
          <a:picLocks noChangeAspect="1"/>
        </xdr:cNvPicPr>
      </xdr:nvPicPr>
      <xdr:blipFill>
        <a:blip xmlns:r="http://schemas.openxmlformats.org/officeDocument/2006/relationships" r:embed="rId2"/>
        <a:stretch>
          <a:fillRect/>
        </a:stretch>
      </xdr:blipFill>
      <xdr:spPr>
        <a:xfrm>
          <a:off x="0" y="5689600"/>
          <a:ext cx="5295343" cy="803590"/>
        </a:xfrm>
        <a:prstGeom prst="rect">
          <a:avLst/>
        </a:prstGeom>
      </xdr:spPr>
    </xdr:pic>
    <xdr:clientData/>
  </xdr:twoCellAnchor>
  <xdr:twoCellAnchor editAs="oneCell">
    <xdr:from>
      <xdr:col>0</xdr:col>
      <xdr:colOff>0</xdr:colOff>
      <xdr:row>50</xdr:row>
      <xdr:rowOff>0</xdr:rowOff>
    </xdr:from>
    <xdr:to>
      <xdr:col>8</xdr:col>
      <xdr:colOff>393700</xdr:colOff>
      <xdr:row>53</xdr:row>
      <xdr:rowOff>141309</xdr:rowOff>
    </xdr:to>
    <xdr:pic>
      <xdr:nvPicPr>
        <xdr:cNvPr id="5" name="Imagen 4">
          <a:extLst>
            <a:ext uri="{FF2B5EF4-FFF2-40B4-BE49-F238E27FC236}">
              <a16:creationId xmlns:a16="http://schemas.microsoft.com/office/drawing/2014/main" id="{86193064-2706-D547-9623-228AF0AF0BA3}"/>
            </a:ext>
          </a:extLst>
        </xdr:cNvPr>
        <xdr:cNvPicPr>
          <a:picLocks noChangeAspect="1"/>
        </xdr:cNvPicPr>
      </xdr:nvPicPr>
      <xdr:blipFill>
        <a:blip xmlns:r="http://schemas.openxmlformats.org/officeDocument/2006/relationships" r:embed="rId3"/>
        <a:stretch>
          <a:fillRect/>
        </a:stretch>
      </xdr:blipFill>
      <xdr:spPr>
        <a:xfrm>
          <a:off x="0" y="10185400"/>
          <a:ext cx="6997700" cy="750909"/>
        </a:xfrm>
        <a:prstGeom prst="rect">
          <a:avLst/>
        </a:prstGeom>
      </xdr:spPr>
    </xdr:pic>
    <xdr:clientData/>
  </xdr:twoCellAnchor>
  <xdr:twoCellAnchor>
    <xdr:from>
      <xdr:col>0</xdr:col>
      <xdr:colOff>0</xdr:colOff>
      <xdr:row>53</xdr:row>
      <xdr:rowOff>190500</xdr:rowOff>
    </xdr:from>
    <xdr:to>
      <xdr:col>7</xdr:col>
      <xdr:colOff>215900</xdr:colOff>
      <xdr:row>55</xdr:row>
      <xdr:rowOff>63500</xdr:rowOff>
    </xdr:to>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EE532032-8979-5377-4A75-7F36531E3054}"/>
                </a:ext>
              </a:extLst>
            </xdr:cNvPr>
            <xdr:cNvSpPr txBox="1"/>
          </xdr:nvSpPr>
          <xdr:spPr>
            <a:xfrm>
              <a:off x="0" y="10985500"/>
              <a:ext cx="599440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En</a:t>
              </a:r>
              <a:r>
                <a:rPr lang="es-MX" sz="1100" baseline="0"/>
                <a:t> primer lugar recordaremos la fórmula: </a:t>
              </a:r>
              <a14:m>
                <m:oMath xmlns:m="http://schemas.openxmlformats.org/officeDocument/2006/math">
                  <m:sSub>
                    <m:sSubPr>
                      <m:ctrlPr>
                        <a:rPr lang="es-MX" sz="1100" i="1" baseline="0">
                          <a:latin typeface="Cambria Math" panose="02040503050406030204" pitchFamily="18" charset="0"/>
                        </a:rPr>
                      </m:ctrlPr>
                    </m:sSubPr>
                    <m:e>
                      <m:r>
                        <a:rPr lang="es-ES" sz="1100" b="0" i="1" baseline="0">
                          <a:latin typeface="Cambria Math" panose="02040503050406030204" pitchFamily="18" charset="0"/>
                        </a:rPr>
                        <m:t>𝐹</m:t>
                      </m:r>
                    </m:e>
                    <m:sub>
                      <m:r>
                        <a:rPr lang="es-ES" sz="1100" b="0" i="1" baseline="0">
                          <a:latin typeface="Cambria Math" panose="02040503050406030204" pitchFamily="18" charset="0"/>
                        </a:rPr>
                        <m:t>0</m:t>
                      </m:r>
                    </m:sub>
                  </m:sSub>
                  <m:r>
                    <a:rPr lang="es-ES" sz="1100" b="0" i="1" baseline="0">
                      <a:latin typeface="Cambria Math" panose="02040503050406030204" pitchFamily="18" charset="0"/>
                    </a:rPr>
                    <m:t>= </m:t>
                  </m:r>
                  <m:sSub>
                    <m:sSubPr>
                      <m:ctrlPr>
                        <a:rPr lang="es-ES" sz="1100" b="0" i="1" baseline="0">
                          <a:latin typeface="Cambria Math" panose="02040503050406030204" pitchFamily="18" charset="0"/>
                        </a:rPr>
                      </m:ctrlPr>
                    </m:sSubPr>
                    <m:e>
                      <m:r>
                        <a:rPr lang="es-ES" sz="1100" b="0" i="1" baseline="0">
                          <a:latin typeface="Cambria Math" panose="02040503050406030204" pitchFamily="18" charset="0"/>
                        </a:rPr>
                        <m:t>(</m:t>
                      </m:r>
                      <m:r>
                        <a:rPr lang="es-ES" sz="1100" b="0" i="1" baseline="0">
                          <a:latin typeface="Cambria Math" panose="02040503050406030204" pitchFamily="18" charset="0"/>
                        </a:rPr>
                        <m:t>𝑆</m:t>
                      </m:r>
                    </m:e>
                    <m:sub>
                      <m:r>
                        <a:rPr lang="es-ES" sz="1100" b="0" i="1" baseline="0">
                          <a:latin typeface="Cambria Math" panose="02040503050406030204" pitchFamily="18" charset="0"/>
                        </a:rPr>
                        <m:t>0</m:t>
                      </m:r>
                    </m:sub>
                  </m:sSub>
                  <m:r>
                    <a:rPr lang="es-ES" sz="1100" b="0" i="1" baseline="0">
                      <a:latin typeface="Cambria Math" panose="02040503050406030204" pitchFamily="18" charset="0"/>
                    </a:rPr>
                    <m:t>+(</m:t>
                  </m:r>
                  <m:r>
                    <a:rPr lang="es-ES" sz="1100" b="0" i="1" baseline="0">
                      <a:latin typeface="Cambria Math" panose="02040503050406030204" pitchFamily="18" charset="0"/>
                    </a:rPr>
                    <m:t>𝑐</m:t>
                  </m:r>
                  <m:r>
                    <a:rPr lang="es-ES" sz="1100" b="0" i="1" baseline="0">
                      <a:latin typeface="Cambria Math" panose="02040503050406030204" pitchFamily="18" charset="0"/>
                    </a:rPr>
                    <m:t>−</m:t>
                  </m:r>
                  <m:r>
                    <a:rPr lang="es-ES" sz="1100" b="0" i="1" baseline="0">
                      <a:latin typeface="Cambria Math" panose="02040503050406030204" pitchFamily="18" charset="0"/>
                    </a:rPr>
                    <m:t>𝑦</m:t>
                  </m:r>
                  <m:r>
                    <a:rPr lang="es-ES" sz="1100" b="0" i="1" baseline="0">
                      <a:latin typeface="Cambria Math" panose="02040503050406030204" pitchFamily="18" charset="0"/>
                    </a:rPr>
                    <m:t>))</m:t>
                  </m:r>
                  <m:r>
                    <a:rPr lang="es-ES" sz="1100" b="0" i="1" baseline="0">
                      <a:latin typeface="Cambria Math" panose="02040503050406030204" pitchFamily="18" charset="0"/>
                    </a:rPr>
                    <m:t>𝑥</m:t>
                  </m:r>
                  <m:sSup>
                    <m:sSupPr>
                      <m:ctrlPr>
                        <a:rPr lang="es-ES" sz="1100" b="0" i="1" baseline="0">
                          <a:latin typeface="Cambria Math" panose="02040503050406030204" pitchFamily="18" charset="0"/>
                        </a:rPr>
                      </m:ctrlPr>
                    </m:sSupPr>
                    <m:e>
                      <m:r>
                        <a:rPr lang="es-ES" sz="1100" b="0" i="1" baseline="0">
                          <a:latin typeface="Cambria Math" panose="02040503050406030204" pitchFamily="18" charset="0"/>
                        </a:rPr>
                        <m:t>(1+</m:t>
                      </m:r>
                      <m:r>
                        <a:rPr lang="es-ES" sz="1100" b="0" i="1" baseline="0">
                          <a:latin typeface="Cambria Math" panose="02040503050406030204" pitchFamily="18" charset="0"/>
                        </a:rPr>
                        <m:t>𝑟</m:t>
                      </m:r>
                      <m:r>
                        <a:rPr lang="es-ES" sz="1100" b="0" i="1" baseline="0">
                          <a:latin typeface="Cambria Math" panose="02040503050406030204" pitchFamily="18" charset="0"/>
                        </a:rPr>
                        <m:t>)</m:t>
                      </m:r>
                    </m:e>
                    <m:sup>
                      <m:r>
                        <a:rPr lang="es-ES" sz="1100" b="0" i="1" baseline="0">
                          <a:latin typeface="Cambria Math" panose="02040503050406030204" pitchFamily="18" charset="0"/>
                        </a:rPr>
                        <m:t>𝑡</m:t>
                      </m:r>
                    </m:sup>
                  </m:sSup>
                </m:oMath>
              </a14:m>
              <a:endParaRPr lang="es-MX" sz="1100"/>
            </a:p>
          </xdr:txBody>
        </xdr:sp>
      </mc:Choice>
      <mc:Fallback xmlns="">
        <xdr:sp macro="" textlink="">
          <xdr:nvSpPr>
            <xdr:cNvPr id="6" name="CuadroTexto 5">
              <a:extLst>
                <a:ext uri="{FF2B5EF4-FFF2-40B4-BE49-F238E27FC236}">
                  <a16:creationId xmlns:a16="http://schemas.microsoft.com/office/drawing/2014/main" id="{EE532032-8979-5377-4A75-7F36531E3054}"/>
                </a:ext>
              </a:extLst>
            </xdr:cNvPr>
            <xdr:cNvSpPr txBox="1"/>
          </xdr:nvSpPr>
          <xdr:spPr>
            <a:xfrm>
              <a:off x="0" y="10985500"/>
              <a:ext cx="599440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En</a:t>
              </a:r>
              <a:r>
                <a:rPr lang="es-MX" sz="1100" baseline="0"/>
                <a:t> primer lugar recordaremos la fórmula: </a:t>
              </a:r>
              <a:r>
                <a:rPr lang="es-ES" sz="1100" b="0" i="0" baseline="0">
                  <a:latin typeface="Cambria Math" panose="02040503050406030204" pitchFamily="18" charset="0"/>
                </a:rPr>
                <a:t>𝐹</a:t>
              </a:r>
              <a:r>
                <a:rPr lang="es-MX" sz="1100" b="0" i="0" baseline="0">
                  <a:latin typeface="Cambria Math" panose="02040503050406030204" pitchFamily="18" charset="0"/>
                </a:rPr>
                <a:t>_</a:t>
              </a:r>
              <a:r>
                <a:rPr lang="es-ES" sz="1100" b="0" i="0" baseline="0">
                  <a:latin typeface="Cambria Math" panose="02040503050406030204" pitchFamily="18" charset="0"/>
                </a:rPr>
                <a:t>0= 〖(𝑆〗_0+(𝑐−𝑦))𝑥〖(1+𝑟)〗^𝑡</a:t>
              </a:r>
              <a:endParaRPr lang="es-MX" sz="1100"/>
            </a:p>
          </xdr:txBody>
        </xdr:sp>
      </mc:Fallback>
    </mc:AlternateContent>
    <xdr:clientData/>
  </xdr:twoCellAnchor>
  <xdr:twoCellAnchor>
    <xdr:from>
      <xdr:col>0</xdr:col>
      <xdr:colOff>76200</xdr:colOff>
      <xdr:row>72</xdr:row>
      <xdr:rowOff>25400</xdr:rowOff>
    </xdr:from>
    <xdr:to>
      <xdr:col>6</xdr:col>
      <xdr:colOff>546100</xdr:colOff>
      <xdr:row>74</xdr:row>
      <xdr:rowOff>139700</xdr:rowOff>
    </xdr:to>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F0EB897B-AB88-1948-C8FE-228D36536C4B}"/>
                </a:ext>
              </a:extLst>
            </xdr:cNvPr>
            <xdr:cNvSpPr txBox="1"/>
          </xdr:nvSpPr>
          <xdr:spPr>
            <a:xfrm>
              <a:off x="76200" y="14719300"/>
              <a:ext cx="5422900" cy="520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De esta forma,</a:t>
              </a:r>
              <a:r>
                <a:rPr lang="es-MX" sz="1100" baseline="0"/>
                <a:t> despejando obtenemos que </a:t>
              </a:r>
              <a14:m>
                <m:oMath xmlns:m="http://schemas.openxmlformats.org/officeDocument/2006/math">
                  <m:r>
                    <a:rPr lang="es-ES" sz="1100" b="0" i="1" baseline="0">
                      <a:latin typeface="Cambria Math" panose="02040503050406030204" pitchFamily="18" charset="0"/>
                    </a:rPr>
                    <m:t>𝑦</m:t>
                  </m:r>
                  <m:sSup>
                    <m:sSupPr>
                      <m:ctrlPr>
                        <a:rPr lang="es-ES" sz="1100" b="0" i="1" baseline="0">
                          <a:latin typeface="Cambria Math" panose="02040503050406030204" pitchFamily="18" charset="0"/>
                        </a:rPr>
                      </m:ctrlPr>
                    </m:sSupPr>
                    <m:e>
                      <m:r>
                        <a:rPr lang="es-ES" sz="1100" b="0" i="1" baseline="0">
                          <a:latin typeface="Cambria Math" panose="02040503050406030204" pitchFamily="18" charset="0"/>
                        </a:rPr>
                        <m:t>(1+</m:t>
                      </m:r>
                      <m:r>
                        <a:rPr lang="es-ES" sz="1100" b="0" i="1" baseline="0">
                          <a:latin typeface="Cambria Math" panose="02040503050406030204" pitchFamily="18" charset="0"/>
                        </a:rPr>
                        <m:t>𝑟</m:t>
                      </m:r>
                      <m:r>
                        <a:rPr lang="es-ES" sz="1100" b="0" i="1" baseline="0">
                          <a:latin typeface="Cambria Math" panose="02040503050406030204" pitchFamily="18" charset="0"/>
                        </a:rPr>
                        <m:t>)</m:t>
                      </m:r>
                    </m:e>
                    <m:sup>
                      <m:r>
                        <a:rPr lang="es-ES" sz="1100" b="0" i="1" baseline="0">
                          <a:latin typeface="Cambria Math" panose="02040503050406030204" pitchFamily="18" charset="0"/>
                        </a:rPr>
                        <m:t>𝑡</m:t>
                      </m:r>
                    </m:sup>
                  </m:sSup>
                  <m:r>
                    <a:rPr lang="es-ES" sz="1100" b="0" i="1" baseline="0">
                      <a:latin typeface="Cambria Math" panose="02040503050406030204" pitchFamily="18" charset="0"/>
                    </a:rPr>
                    <m:t>=</m:t>
                  </m:r>
                  <m:sSub>
                    <m:sSubPr>
                      <m:ctrlPr>
                        <a:rPr lang="es-ES" sz="1100" b="0" i="1" baseline="0">
                          <a:latin typeface="Cambria Math" panose="02040503050406030204" pitchFamily="18" charset="0"/>
                        </a:rPr>
                      </m:ctrlPr>
                    </m:sSubPr>
                    <m:e>
                      <m:r>
                        <a:rPr lang="es-ES" sz="1100" b="0" i="1" baseline="0">
                          <a:latin typeface="Cambria Math" panose="02040503050406030204" pitchFamily="18" charset="0"/>
                        </a:rPr>
                        <m:t>𝑆</m:t>
                      </m:r>
                    </m:e>
                    <m:sub>
                      <m:r>
                        <a:rPr lang="es-ES" sz="1100" b="0" i="1" baseline="0">
                          <a:latin typeface="Cambria Math" panose="02040503050406030204" pitchFamily="18" charset="0"/>
                        </a:rPr>
                        <m:t>0</m:t>
                      </m:r>
                    </m:sub>
                  </m:sSub>
                  <m:sSup>
                    <m:sSupPr>
                      <m:ctrlPr>
                        <a:rPr lang="es-ES" sz="1100" b="0" i="1" baseline="0">
                          <a:latin typeface="Cambria Math" panose="02040503050406030204" pitchFamily="18" charset="0"/>
                        </a:rPr>
                      </m:ctrlPr>
                    </m:sSupPr>
                    <m:e>
                      <m:r>
                        <a:rPr lang="es-ES" sz="1100" b="0" i="1" baseline="0">
                          <a:latin typeface="Cambria Math" panose="02040503050406030204" pitchFamily="18" charset="0"/>
                        </a:rPr>
                        <m:t>(1+</m:t>
                      </m:r>
                      <m:r>
                        <a:rPr lang="es-ES" sz="1100" b="0" i="1" baseline="0">
                          <a:latin typeface="Cambria Math" panose="02040503050406030204" pitchFamily="18" charset="0"/>
                        </a:rPr>
                        <m:t>𝑟</m:t>
                      </m:r>
                      <m:r>
                        <a:rPr lang="es-ES" sz="1100" b="0" i="1" baseline="0">
                          <a:latin typeface="Cambria Math" panose="02040503050406030204" pitchFamily="18" charset="0"/>
                        </a:rPr>
                        <m:t>)</m:t>
                      </m:r>
                    </m:e>
                    <m:sup>
                      <m:r>
                        <a:rPr lang="es-ES" sz="1100" b="0" i="1" baseline="0">
                          <a:latin typeface="Cambria Math" panose="02040503050406030204" pitchFamily="18" charset="0"/>
                        </a:rPr>
                        <m:t>𝑡</m:t>
                      </m:r>
                    </m:sup>
                  </m:sSup>
                  <m:r>
                    <a:rPr lang="es-ES" sz="1100" b="0" i="1" baseline="0">
                      <a:latin typeface="Cambria Math" panose="02040503050406030204" pitchFamily="18" charset="0"/>
                    </a:rPr>
                    <m:t>+</m:t>
                  </m:r>
                  <m:r>
                    <a:rPr lang="es-ES" sz="1100" b="0" i="1" baseline="0">
                      <a:latin typeface="Cambria Math" panose="02040503050406030204" pitchFamily="18" charset="0"/>
                    </a:rPr>
                    <m:t>𝑐</m:t>
                  </m:r>
                  <m:sSup>
                    <m:sSupPr>
                      <m:ctrlPr>
                        <a:rPr lang="es-ES" sz="1100" b="0" i="1" baseline="0">
                          <a:latin typeface="Cambria Math" panose="02040503050406030204" pitchFamily="18" charset="0"/>
                        </a:rPr>
                      </m:ctrlPr>
                    </m:sSupPr>
                    <m:e>
                      <m:r>
                        <a:rPr lang="es-ES" sz="1100" b="0" i="1" baseline="0">
                          <a:latin typeface="Cambria Math" panose="02040503050406030204" pitchFamily="18" charset="0"/>
                        </a:rPr>
                        <m:t>(1+</m:t>
                      </m:r>
                      <m:r>
                        <a:rPr lang="es-ES" sz="1100" b="0" i="1" baseline="0">
                          <a:latin typeface="Cambria Math" panose="02040503050406030204" pitchFamily="18" charset="0"/>
                        </a:rPr>
                        <m:t>𝑟</m:t>
                      </m:r>
                      <m:r>
                        <a:rPr lang="es-ES" sz="1100" b="0" i="1" baseline="0">
                          <a:latin typeface="Cambria Math" panose="02040503050406030204" pitchFamily="18" charset="0"/>
                        </a:rPr>
                        <m:t>)</m:t>
                      </m:r>
                    </m:e>
                    <m:sup>
                      <m:r>
                        <a:rPr lang="es-ES" sz="1100" b="0" i="1" baseline="0">
                          <a:latin typeface="Cambria Math" panose="02040503050406030204" pitchFamily="18" charset="0"/>
                        </a:rPr>
                        <m:t>𝑡</m:t>
                      </m:r>
                    </m:sup>
                  </m:sSup>
                  <m:r>
                    <a:rPr lang="es-ES" sz="1100" b="0" i="1" baseline="0">
                      <a:latin typeface="Cambria Math" panose="02040503050406030204" pitchFamily="18" charset="0"/>
                    </a:rPr>
                    <m:t>−</m:t>
                  </m:r>
                  <m:sSub>
                    <m:sSubPr>
                      <m:ctrlPr>
                        <a:rPr lang="es-ES" sz="1100" b="0" i="1" baseline="0">
                          <a:latin typeface="Cambria Math" panose="02040503050406030204" pitchFamily="18" charset="0"/>
                        </a:rPr>
                      </m:ctrlPr>
                    </m:sSubPr>
                    <m:e>
                      <m:r>
                        <a:rPr lang="es-ES" sz="1100" b="0" i="1" baseline="0">
                          <a:latin typeface="Cambria Math" panose="02040503050406030204" pitchFamily="18" charset="0"/>
                        </a:rPr>
                        <m:t>𝐹</m:t>
                      </m:r>
                    </m:e>
                    <m:sub>
                      <m:r>
                        <a:rPr lang="es-ES" sz="1100" b="0" i="1" baseline="0">
                          <a:latin typeface="Cambria Math" panose="02040503050406030204" pitchFamily="18" charset="0"/>
                        </a:rPr>
                        <m:t>0</m:t>
                      </m:r>
                    </m:sub>
                  </m:sSub>
                </m:oMath>
              </a14:m>
              <a:endParaRPr lang="es-MX" sz="1100"/>
            </a:p>
          </xdr:txBody>
        </xdr:sp>
      </mc:Choice>
      <mc:Fallback xmlns="">
        <xdr:sp macro="" textlink="">
          <xdr:nvSpPr>
            <xdr:cNvPr id="7" name="CuadroTexto 6">
              <a:extLst>
                <a:ext uri="{FF2B5EF4-FFF2-40B4-BE49-F238E27FC236}">
                  <a16:creationId xmlns:a16="http://schemas.microsoft.com/office/drawing/2014/main" id="{F0EB897B-AB88-1948-C8FE-228D36536C4B}"/>
                </a:ext>
              </a:extLst>
            </xdr:cNvPr>
            <xdr:cNvSpPr txBox="1"/>
          </xdr:nvSpPr>
          <xdr:spPr>
            <a:xfrm>
              <a:off x="76200" y="14719300"/>
              <a:ext cx="5422900" cy="520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De esta forma,</a:t>
              </a:r>
              <a:r>
                <a:rPr lang="es-MX" sz="1100" baseline="0"/>
                <a:t> despejando obtenemos que </a:t>
              </a:r>
              <a:r>
                <a:rPr lang="es-ES" sz="1100" b="0" i="0" baseline="0">
                  <a:latin typeface="Cambria Math" panose="02040503050406030204" pitchFamily="18" charset="0"/>
                </a:rPr>
                <a:t>𝑦〖(1+𝑟)〗^𝑡=𝑆_0 〖(1+𝑟)〗^𝑡+𝑐〖(1+𝑟)〗^𝑡−𝐹_0</a:t>
              </a:r>
              <a:endParaRPr lang="es-MX" sz="1100"/>
            </a:p>
          </xdr:txBody>
        </xdr:sp>
      </mc:Fallback>
    </mc:AlternateContent>
    <xdr:clientData/>
  </xdr:twoCellAnchor>
  <xdr:twoCellAnchor>
    <xdr:from>
      <xdr:col>0</xdr:col>
      <xdr:colOff>0</xdr:colOff>
      <xdr:row>95</xdr:row>
      <xdr:rowOff>38100</xdr:rowOff>
    </xdr:from>
    <xdr:to>
      <xdr:col>8</xdr:col>
      <xdr:colOff>76200</xdr:colOff>
      <xdr:row>99</xdr:row>
      <xdr:rowOff>0</xdr:rowOff>
    </xdr:to>
    <xdr:sp macro="" textlink="">
      <xdr:nvSpPr>
        <xdr:cNvPr id="8" name="CuadroTexto 7">
          <a:extLst>
            <a:ext uri="{FF2B5EF4-FFF2-40B4-BE49-F238E27FC236}">
              <a16:creationId xmlns:a16="http://schemas.microsoft.com/office/drawing/2014/main" id="{10C346F4-F55C-A402-47B6-90892D422299}"/>
            </a:ext>
          </a:extLst>
        </xdr:cNvPr>
        <xdr:cNvSpPr txBox="1"/>
      </xdr:nvSpPr>
      <xdr:spPr>
        <a:xfrm>
          <a:off x="0" y="19431000"/>
          <a:ext cx="6680200" cy="774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a:t>Esta estructura</a:t>
          </a:r>
          <a:r>
            <a:rPr lang="es-CL" baseline="0"/>
            <a:t> e</a:t>
          </a:r>
          <a:r>
            <a:rPr lang="es-CL"/>
            <a:t>s frecuente</a:t>
          </a:r>
          <a:r>
            <a:rPr lang="es-CL" baseline="0"/>
            <a:t> en situaciones de restricciones en el suministro spot o shock de demanda, </a:t>
          </a:r>
          <a:r>
            <a:rPr lang="es-CL"/>
            <a:t>lo que se refleja en altos beneficios de conveniencia. Esto también se</a:t>
          </a:r>
          <a:r>
            <a:rPr lang="es-CL" baseline="0"/>
            <a:t> refleja en precios spots altos </a:t>
          </a:r>
          <a:r>
            <a:rPr lang="es-CL"/>
            <a:t> que el mercado piensa se pueden normalizar en plazos mas largos.</a:t>
          </a:r>
          <a:endParaRPr lang="es-MX" sz="1100"/>
        </a:p>
      </xdr:txBody>
    </xdr:sp>
    <xdr:clientData/>
  </xdr:twoCellAnchor>
  <xdr:twoCellAnchor editAs="oneCell">
    <xdr:from>
      <xdr:col>0</xdr:col>
      <xdr:colOff>0</xdr:colOff>
      <xdr:row>89</xdr:row>
      <xdr:rowOff>12700</xdr:rowOff>
    </xdr:from>
    <xdr:to>
      <xdr:col>8</xdr:col>
      <xdr:colOff>221113</xdr:colOff>
      <xdr:row>94</xdr:row>
      <xdr:rowOff>116431</xdr:rowOff>
    </xdr:to>
    <xdr:pic>
      <xdr:nvPicPr>
        <xdr:cNvPr id="9" name="Imagen 8">
          <a:extLst>
            <a:ext uri="{FF2B5EF4-FFF2-40B4-BE49-F238E27FC236}">
              <a16:creationId xmlns:a16="http://schemas.microsoft.com/office/drawing/2014/main" id="{7542CAE7-62F1-5348-9F8E-E8EF7FF7D187}"/>
            </a:ext>
          </a:extLst>
        </xdr:cNvPr>
        <xdr:cNvPicPr>
          <a:picLocks noChangeAspect="1"/>
        </xdr:cNvPicPr>
      </xdr:nvPicPr>
      <xdr:blipFill>
        <a:blip xmlns:r="http://schemas.openxmlformats.org/officeDocument/2006/relationships" r:embed="rId4"/>
        <a:stretch>
          <a:fillRect/>
        </a:stretch>
      </xdr:blipFill>
      <xdr:spPr>
        <a:xfrm>
          <a:off x="0" y="18186400"/>
          <a:ext cx="6825113" cy="1119731"/>
        </a:xfrm>
        <a:prstGeom prst="rect">
          <a:avLst/>
        </a:prstGeom>
      </xdr:spPr>
    </xdr:pic>
    <xdr:clientData/>
  </xdr:twoCellAnchor>
  <xdr:twoCellAnchor>
    <xdr:from>
      <xdr:col>0</xdr:col>
      <xdr:colOff>38100</xdr:colOff>
      <xdr:row>100</xdr:row>
      <xdr:rowOff>25400</xdr:rowOff>
    </xdr:from>
    <xdr:to>
      <xdr:col>12</xdr:col>
      <xdr:colOff>165100</xdr:colOff>
      <xdr:row>117</xdr:row>
      <xdr:rowOff>139700</xdr:rowOff>
    </xdr:to>
    <xdr:sp macro="" textlink="">
      <xdr:nvSpPr>
        <xdr:cNvPr id="10" name="CuadroTexto 9">
          <a:extLst>
            <a:ext uri="{FF2B5EF4-FFF2-40B4-BE49-F238E27FC236}">
              <a16:creationId xmlns:a16="http://schemas.microsoft.com/office/drawing/2014/main" id="{4A7396D9-B42A-16E5-668D-6AAB38C9F9BB}"/>
            </a:ext>
          </a:extLst>
        </xdr:cNvPr>
        <xdr:cNvSpPr txBox="1"/>
      </xdr:nvSpPr>
      <xdr:spPr>
        <a:xfrm>
          <a:off x="38100" y="20434300"/>
          <a:ext cx="10033000" cy="356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La afirmación del analista es parcialmente correcta. Es cierto que una estructura de precios en backwardation muestra precios futuros más bajos que el precio spot actual, lo que puede interpretarse como una expectativa de caída en el valor del crudo. Sin embargo, esto no captura toda la complejidad de la situación. Es importante analizar distintos factores que podrían estar influyendo.</a:t>
          </a:r>
        </a:p>
        <a:p>
          <a:endParaRPr lang="es-MX" sz="1100"/>
        </a:p>
        <a:p>
          <a:r>
            <a:rPr lang="es-MX" sz="1100"/>
            <a:t>El backwardation a menudo refleja una escasez actual o percibida a corto plazo, más que una expectativa de caída de precios a largo plazo. Indica una mayor valoración del crudo disponible inmediatamente en comparación con el crudo entregado en el futuro. Además, nuestros cálculos muestran un alto convenience yield que aumenta con el tiempo, lo que indica que el mercado valora significativamente la posesión física del crudo. Un alto convenience yield sugiere que los participantes del mercado están dispuestos a pagar una prima por tener el crudo ahora debido a la incertidumbre en el suministro futuro, la necesidad de asegurar inventarios y el valor estratégico de tener el producto físico.</a:t>
          </a:r>
        </a:p>
        <a:p>
          <a:endParaRPr lang="es-MX" sz="1100"/>
        </a:p>
        <a:p>
          <a:r>
            <a:rPr lang="es-MX" sz="1100"/>
            <a:t>En una situación normal, los precios futuros deberían ser más altos que los precios spot para cubrir los costos de almacenamiento y financiamiento. El hecho de que no lo sean indica que el convenience yield supera estos costos, reflejando una fuerte demanda actual o preocupaciones sobre el suministro futuro. Cuando el convenience yield supera el costo de almacenamiento, indica que el mercado valora más tener el crudo físicamente ahora que en el futuro. Este alto convenience yield sugiere una fuerte demanda actual o expectativas de escasez para el futuro, no necesariamente una caída esperada en el valor del crudo. Observamos que tanto el costo de almacenamiento como el convenience yield aumentan con el plazo, pero el convenience yield aumenta más rápidamente.</a:t>
          </a:r>
        </a:p>
        <a:p>
          <a:endParaRPr lang="es-MX" sz="1100"/>
        </a:p>
        <a:p>
          <a:r>
            <a:rPr lang="es-MX" sz="1100"/>
            <a:t>En conclusión, esta estructura no necesariamente indica una expectativa de caída en el valor del crudo, sino más bien una fuerte preferencia por tener el crudo ahora. Basándonos en los valores calculados del costo de almacenamiento y el convenience yield, la afirmación del analista no es necesariamente correcta. Los datos sugieren que hay una alta valoración del crudo en el presente y se espera que continúe en el futuro. El mercado muestra una fuerte preferencia por tener el crudo físicamente, lo que generalmente se asocia con expectativas de mantenimiento o aumento del valor, no de caída. La estructura de precios refleja más bien una escasez actual o anticipada, y/o una alta demanda, en lugar de expectativas de caída en el valor del crudo.</a:t>
          </a:r>
        </a:p>
      </xdr:txBody>
    </xdr:sp>
    <xdr:clientData/>
  </xdr:twoCellAnchor>
  <xdr:twoCellAnchor editAs="oneCell">
    <xdr:from>
      <xdr:col>0</xdr:col>
      <xdr:colOff>0</xdr:colOff>
      <xdr:row>120</xdr:row>
      <xdr:rowOff>0</xdr:rowOff>
    </xdr:from>
    <xdr:to>
      <xdr:col>8</xdr:col>
      <xdr:colOff>287812</xdr:colOff>
      <xdr:row>127</xdr:row>
      <xdr:rowOff>187135</xdr:rowOff>
    </xdr:to>
    <xdr:pic>
      <xdr:nvPicPr>
        <xdr:cNvPr id="11" name="Imagen 10">
          <a:extLst>
            <a:ext uri="{FF2B5EF4-FFF2-40B4-BE49-F238E27FC236}">
              <a16:creationId xmlns:a16="http://schemas.microsoft.com/office/drawing/2014/main" id="{8564678C-52B6-9149-9DFB-F2E1F69EAFEE}"/>
            </a:ext>
          </a:extLst>
        </xdr:cNvPr>
        <xdr:cNvPicPr>
          <a:picLocks noChangeAspect="1"/>
        </xdr:cNvPicPr>
      </xdr:nvPicPr>
      <xdr:blipFill>
        <a:blip xmlns:r="http://schemas.openxmlformats.org/officeDocument/2006/relationships" r:embed="rId5"/>
        <a:stretch>
          <a:fillRect/>
        </a:stretch>
      </xdr:blipFill>
      <xdr:spPr>
        <a:xfrm>
          <a:off x="0" y="24472900"/>
          <a:ext cx="6891812" cy="1609535"/>
        </a:xfrm>
        <a:prstGeom prst="rect">
          <a:avLst/>
        </a:prstGeom>
      </xdr:spPr>
    </xdr:pic>
    <xdr:clientData/>
  </xdr:twoCellAnchor>
  <xdr:twoCellAnchor editAs="oneCell">
    <xdr:from>
      <xdr:col>0</xdr:col>
      <xdr:colOff>0</xdr:colOff>
      <xdr:row>128</xdr:row>
      <xdr:rowOff>0</xdr:rowOff>
    </xdr:from>
    <xdr:to>
      <xdr:col>8</xdr:col>
      <xdr:colOff>298450</xdr:colOff>
      <xdr:row>130</xdr:row>
      <xdr:rowOff>75089</xdr:rowOff>
    </xdr:to>
    <xdr:pic>
      <xdr:nvPicPr>
        <xdr:cNvPr id="12" name="Imagen 11">
          <a:extLst>
            <a:ext uri="{FF2B5EF4-FFF2-40B4-BE49-F238E27FC236}">
              <a16:creationId xmlns:a16="http://schemas.microsoft.com/office/drawing/2014/main" id="{0EF196BA-2AF0-C542-BA19-48A4B8191695}"/>
            </a:ext>
          </a:extLst>
        </xdr:cNvPr>
        <xdr:cNvPicPr>
          <a:picLocks noChangeAspect="1"/>
        </xdr:cNvPicPr>
      </xdr:nvPicPr>
      <xdr:blipFill>
        <a:blip xmlns:r="http://schemas.openxmlformats.org/officeDocument/2006/relationships" r:embed="rId6"/>
        <a:stretch>
          <a:fillRect/>
        </a:stretch>
      </xdr:blipFill>
      <xdr:spPr>
        <a:xfrm>
          <a:off x="0" y="26098500"/>
          <a:ext cx="6902450" cy="481489"/>
        </a:xfrm>
        <a:prstGeom prst="rect">
          <a:avLst/>
        </a:prstGeom>
      </xdr:spPr>
    </xdr:pic>
    <xdr:clientData/>
  </xdr:twoCellAnchor>
  <xdr:twoCellAnchor>
    <xdr:from>
      <xdr:col>0</xdr:col>
      <xdr:colOff>127000</xdr:colOff>
      <xdr:row>131</xdr:row>
      <xdr:rowOff>101600</xdr:rowOff>
    </xdr:from>
    <xdr:to>
      <xdr:col>7</xdr:col>
      <xdr:colOff>822960</xdr:colOff>
      <xdr:row>134</xdr:row>
      <xdr:rowOff>144780</xdr:rowOff>
    </xdr:to>
    <xdr:sp macro="" textlink="">
      <xdr:nvSpPr>
        <xdr:cNvPr id="13" name="CuadroTexto 12">
          <a:extLst>
            <a:ext uri="{FF2B5EF4-FFF2-40B4-BE49-F238E27FC236}">
              <a16:creationId xmlns:a16="http://schemas.microsoft.com/office/drawing/2014/main" id="{9B7CB2A4-8C5D-C0E1-F838-400067FE9B83}"/>
            </a:ext>
          </a:extLst>
        </xdr:cNvPr>
        <xdr:cNvSpPr txBox="1"/>
      </xdr:nvSpPr>
      <xdr:spPr>
        <a:xfrm>
          <a:off x="127000" y="26101040"/>
          <a:ext cx="6670040" cy="637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Dado</a:t>
          </a:r>
          <a:r>
            <a:rPr lang="es-MX" sz="1100" baseline="0"/>
            <a:t> el coeficiente de correlación, podemos estimar el  precio del IFO variará de manera semejante al precio del petróleo y que se podrá curbir esta variación con futurs de Brent. Se puede hacer la estimación </a:t>
          </a:r>
        </a:p>
        <a:p>
          <a:r>
            <a:rPr lang="es-MX" sz="1100" baseline="0"/>
            <a:t>por semestres vencidos, anticipados o con promedios entre comienzo y fin.</a:t>
          </a:r>
        </a:p>
        <a:p>
          <a:endParaRPr lang="es-MX" sz="1100" baseline="0"/>
        </a:p>
      </xdr:txBody>
    </xdr:sp>
    <xdr:clientData/>
  </xdr:twoCellAnchor>
  <xdr:twoCellAnchor>
    <xdr:from>
      <xdr:col>0</xdr:col>
      <xdr:colOff>213360</xdr:colOff>
      <xdr:row>144</xdr:row>
      <xdr:rowOff>30480</xdr:rowOff>
    </xdr:from>
    <xdr:to>
      <xdr:col>6</xdr:col>
      <xdr:colOff>607060</xdr:colOff>
      <xdr:row>145</xdr:row>
      <xdr:rowOff>137160</xdr:rowOff>
    </xdr:to>
    <xdr:sp macro="" textlink="">
      <xdr:nvSpPr>
        <xdr:cNvPr id="14" name="CuadroTexto 13">
          <a:extLst>
            <a:ext uri="{FF2B5EF4-FFF2-40B4-BE49-F238E27FC236}">
              <a16:creationId xmlns:a16="http://schemas.microsoft.com/office/drawing/2014/main" id="{A96552DD-ED9B-326C-8734-7ED0C4B05FA8}"/>
            </a:ext>
          </a:extLst>
        </xdr:cNvPr>
        <xdr:cNvSpPr txBox="1"/>
      </xdr:nvSpPr>
      <xdr:spPr>
        <a:xfrm>
          <a:off x="213360" y="28605480"/>
          <a:ext cx="551434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Ahora calculamos los días totales que incluye el contrato:</a:t>
          </a:r>
          <a:br>
            <a:rPr lang="es-MX" sz="1100"/>
          </a:br>
          <a:endParaRPr lang="es-MX" sz="1100"/>
        </a:p>
      </xdr:txBody>
    </xdr:sp>
    <xdr:clientData/>
  </xdr:twoCellAnchor>
  <xdr:twoCellAnchor>
    <xdr:from>
      <xdr:col>3</xdr:col>
      <xdr:colOff>375920</xdr:colOff>
      <xdr:row>167</xdr:row>
      <xdr:rowOff>193040</xdr:rowOff>
    </xdr:from>
    <xdr:to>
      <xdr:col>8</xdr:col>
      <xdr:colOff>642620</xdr:colOff>
      <xdr:row>171</xdr:row>
      <xdr:rowOff>91440</xdr:rowOff>
    </xdr:to>
    <xdr:sp macro="" textlink="">
      <xdr:nvSpPr>
        <xdr:cNvPr id="15" name="CuadroTexto 14">
          <a:extLst>
            <a:ext uri="{FF2B5EF4-FFF2-40B4-BE49-F238E27FC236}">
              <a16:creationId xmlns:a16="http://schemas.microsoft.com/office/drawing/2014/main" id="{7501E981-EEA3-88D8-118D-5D73FDFABAF7}"/>
            </a:ext>
          </a:extLst>
        </xdr:cNvPr>
        <xdr:cNvSpPr txBox="1"/>
      </xdr:nvSpPr>
      <xdr:spPr>
        <a:xfrm>
          <a:off x="2936240" y="33721040"/>
          <a:ext cx="4533900" cy="690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i="0" u="none" strike="noStrike">
              <a:solidFill>
                <a:schemeClr val="dk1"/>
              </a:solidFill>
              <a:effectLst/>
              <a:latin typeface="+mn-lt"/>
              <a:ea typeface="+mn-ea"/>
              <a:cs typeface="+mn-cs"/>
            </a:rPr>
            <a:t>Para cubrir las fluctuaciones en el precio del combustible podría comprar contratos de futuro de petróleo</a:t>
          </a:r>
          <a:r>
            <a:rPr lang="es-CL" sz="1100" b="0" i="0" u="none" strike="noStrike" baseline="0">
              <a:solidFill>
                <a:schemeClr val="dk1"/>
              </a:solidFill>
              <a:effectLst/>
              <a:latin typeface="+mn-lt"/>
              <a:ea typeface="+mn-ea"/>
              <a:cs typeface="+mn-cs"/>
            </a:rPr>
            <a:t> en cantidad tal que el monto en USD sea equivalente al consumo de IFO.</a:t>
          </a:r>
          <a:endParaRPr lang="es-MX" sz="1100" b="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CFEA9-5770-9049-91EB-3963899222D8}">
  <dimension ref="A1:O96"/>
  <sheetViews>
    <sheetView showGridLines="0" topLeftCell="A69" zoomScaleNormal="100" workbookViewId="0">
      <selection activeCell="P15" sqref="P15"/>
    </sheetView>
  </sheetViews>
  <sheetFormatPr baseColWidth="10" defaultRowHeight="15.6"/>
  <cols>
    <col min="1" max="1" width="14.796875" bestFit="1" customWidth="1"/>
    <col min="2" max="2" width="13.69921875" bestFit="1" customWidth="1"/>
    <col min="4" max="4" width="18" bestFit="1" customWidth="1"/>
    <col min="5" max="5" width="17" customWidth="1"/>
    <col min="8" max="8" width="23" customWidth="1"/>
    <col min="9" max="9" width="10.796875" customWidth="1"/>
    <col min="12" max="12" width="29.296875" bestFit="1" customWidth="1"/>
  </cols>
  <sheetData>
    <row r="1" spans="6:15">
      <c r="H1" s="42" t="s">
        <v>0</v>
      </c>
      <c r="I1" s="43"/>
      <c r="J1" s="43"/>
      <c r="K1" s="43"/>
      <c r="L1" s="43"/>
      <c r="M1" s="43"/>
      <c r="N1" s="43"/>
      <c r="O1" s="43"/>
    </row>
    <row r="2" spans="6:15">
      <c r="H2" s="43"/>
      <c r="I2" s="43"/>
      <c r="J2" s="43"/>
      <c r="K2" s="43"/>
      <c r="L2" s="43"/>
      <c r="M2" s="43"/>
      <c r="N2" s="43"/>
      <c r="O2" s="43"/>
    </row>
    <row r="3" spans="6:15">
      <c r="H3" s="43"/>
      <c r="I3" s="43"/>
      <c r="J3" s="43"/>
      <c r="K3" s="43"/>
      <c r="L3" s="43"/>
      <c r="M3" s="43"/>
      <c r="N3" s="43"/>
      <c r="O3" s="43"/>
    </row>
    <row r="4" spans="6:15">
      <c r="H4" s="43"/>
      <c r="I4" s="43"/>
      <c r="J4" s="43"/>
      <c r="K4" s="43"/>
      <c r="L4" s="43"/>
      <c r="M4" s="43"/>
      <c r="N4" s="43"/>
      <c r="O4" s="43"/>
    </row>
    <row r="6" spans="6:15">
      <c r="L6" s="43" t="s">
        <v>16</v>
      </c>
      <c r="M6" s="43"/>
    </row>
    <row r="7" spans="6:15">
      <c r="L7" t="s">
        <v>14</v>
      </c>
      <c r="M7" s="4">
        <v>0.27</v>
      </c>
    </row>
    <row r="8" spans="6:15">
      <c r="L8" t="s">
        <v>17</v>
      </c>
      <c r="M8">
        <v>2290</v>
      </c>
    </row>
    <row r="9" spans="6:15">
      <c r="L9" t="s">
        <v>20</v>
      </c>
      <c r="M9">
        <v>3600</v>
      </c>
    </row>
    <row r="10" spans="6:15">
      <c r="L10" t="s">
        <v>21</v>
      </c>
      <c r="M10" t="s">
        <v>18</v>
      </c>
    </row>
    <row r="11" spans="6:15">
      <c r="L11" t="s">
        <v>22</v>
      </c>
      <c r="M11" s="4">
        <v>0.12</v>
      </c>
    </row>
    <row r="12" spans="6:15">
      <c r="L12" t="s">
        <v>19</v>
      </c>
      <c r="M12" s="4">
        <v>0.3</v>
      </c>
    </row>
    <row r="13" spans="6:15">
      <c r="L13" t="s">
        <v>23</v>
      </c>
      <c r="M13" s="6">
        <v>4.2099999999999999E-2</v>
      </c>
    </row>
    <row r="16" spans="6:15">
      <c r="F16" s="43" t="s">
        <v>8</v>
      </c>
      <c r="G16" s="43"/>
      <c r="H16" s="43"/>
    </row>
    <row r="17" spans="1:9">
      <c r="A17" s="44" t="s">
        <v>1</v>
      </c>
      <c r="B17" s="44"/>
      <c r="C17" s="2" t="s">
        <v>2</v>
      </c>
      <c r="D17" s="2"/>
      <c r="F17" t="s">
        <v>9</v>
      </c>
      <c r="G17" t="s">
        <v>13</v>
      </c>
      <c r="H17" t="s">
        <v>14</v>
      </c>
      <c r="I17" t="s">
        <v>15</v>
      </c>
    </row>
    <row r="18" spans="1:9">
      <c r="A18" s="2" t="s">
        <v>3</v>
      </c>
      <c r="B18" s="3">
        <v>200</v>
      </c>
      <c r="C18" s="3" t="s">
        <v>6</v>
      </c>
      <c r="D18" s="3">
        <v>2290</v>
      </c>
      <c r="F18" t="s">
        <v>10</v>
      </c>
      <c r="G18">
        <v>1.21</v>
      </c>
      <c r="H18" s="4">
        <v>0.25</v>
      </c>
      <c r="I18">
        <v>0.59</v>
      </c>
    </row>
    <row r="19" spans="1:9">
      <c r="A19" s="3" t="s">
        <v>4</v>
      </c>
      <c r="B19" s="3">
        <v>3200</v>
      </c>
      <c r="C19" s="3" t="s">
        <v>7</v>
      </c>
      <c r="D19" s="3">
        <v>1110</v>
      </c>
      <c r="F19" t="s">
        <v>11</v>
      </c>
      <c r="G19">
        <v>0.89</v>
      </c>
      <c r="H19" s="4">
        <v>0.3</v>
      </c>
      <c r="I19">
        <v>0.16</v>
      </c>
    </row>
    <row r="20" spans="1:9">
      <c r="A20" s="3" t="s">
        <v>5</v>
      </c>
      <c r="B20" s="3">
        <v>3400</v>
      </c>
      <c r="C20" s="3" t="s">
        <v>5</v>
      </c>
      <c r="D20" s="3">
        <v>3400</v>
      </c>
      <c r="F20" t="s">
        <v>12</v>
      </c>
      <c r="G20">
        <v>1.08</v>
      </c>
      <c r="H20" s="4">
        <v>0.2</v>
      </c>
      <c r="I20">
        <v>0.2</v>
      </c>
    </row>
    <row r="28" spans="1:9">
      <c r="G28" s="1"/>
    </row>
    <row r="32" spans="1:9">
      <c r="A32" t="s">
        <v>24</v>
      </c>
      <c r="B32" t="s">
        <v>25</v>
      </c>
      <c r="D32" s="43" t="s">
        <v>27</v>
      </c>
      <c r="E32" s="43"/>
    </row>
    <row r="33" spans="1:5">
      <c r="A33" t="s">
        <v>10</v>
      </c>
      <c r="B33" s="7">
        <f>G18/(1+(I18)*(1-H18))</f>
        <v>0.83882149046793764</v>
      </c>
      <c r="D33" t="s">
        <v>29</v>
      </c>
      <c r="E33">
        <v>3600</v>
      </c>
    </row>
    <row r="34" spans="1:5">
      <c r="A34" t="s">
        <v>11</v>
      </c>
      <c r="B34" s="7">
        <f t="shared" ref="B34:B35" si="0">G19/(1+(I19)*(1-H19))</f>
        <v>0.80035971223021574</v>
      </c>
      <c r="D34" t="s">
        <v>30</v>
      </c>
      <c r="E34">
        <f>M8*1.02</f>
        <v>2335.8000000000002</v>
      </c>
    </row>
    <row r="35" spans="1:5">
      <c r="A35" t="s">
        <v>12</v>
      </c>
      <c r="B35" s="7">
        <f t="shared" si="0"/>
        <v>0.93103448275862066</v>
      </c>
      <c r="D35" t="s">
        <v>31</v>
      </c>
      <c r="E35">
        <f>E33-E34</f>
        <v>1264.1999999999998</v>
      </c>
    </row>
    <row r="36" spans="1:5">
      <c r="B36" s="7"/>
      <c r="D36" t="s">
        <v>15</v>
      </c>
      <c r="E36" s="7">
        <f>E34/E35</f>
        <v>1.8476506881822501</v>
      </c>
    </row>
    <row r="37" spans="1:5">
      <c r="A37" t="s">
        <v>26</v>
      </c>
      <c r="B37" s="7">
        <f>AVERAGE(B33:B35)</f>
        <v>0.85673856181892472</v>
      </c>
    </row>
    <row r="40" spans="1:5">
      <c r="A40" t="s">
        <v>32</v>
      </c>
    </row>
    <row r="42" spans="1:5">
      <c r="A42" s="8" t="s">
        <v>33</v>
      </c>
      <c r="B42" s="9">
        <f>B37*(1+(1-M7)*E36)</f>
        <v>2.0122946849549401</v>
      </c>
      <c r="D42" t="s">
        <v>34</v>
      </c>
    </row>
    <row r="49" spans="1:7">
      <c r="A49" t="s">
        <v>35</v>
      </c>
      <c r="G49" t="s">
        <v>42</v>
      </c>
    </row>
    <row r="51" spans="1:7">
      <c r="G51" t="s">
        <v>43</v>
      </c>
    </row>
    <row r="52" spans="1:7">
      <c r="A52" t="s">
        <v>36</v>
      </c>
      <c r="B52" s="7">
        <f>E35/E33</f>
        <v>0.35116666666666663</v>
      </c>
      <c r="G52" t="s">
        <v>44</v>
      </c>
    </row>
    <row r="53" spans="1:7">
      <c r="A53" t="s">
        <v>37</v>
      </c>
      <c r="B53" s="7">
        <f>E34/E33</f>
        <v>0.64883333333333337</v>
      </c>
      <c r="G53" t="s">
        <v>45</v>
      </c>
    </row>
    <row r="54" spans="1:7">
      <c r="G54" t="s">
        <v>46</v>
      </c>
    </row>
    <row r="55" spans="1:7">
      <c r="A55" t="s">
        <v>38</v>
      </c>
      <c r="D55" t="s">
        <v>39</v>
      </c>
    </row>
    <row r="57" spans="1:7">
      <c r="A57" t="s">
        <v>40</v>
      </c>
      <c r="B57" s="7">
        <f>B42</f>
        <v>2.0122946849549401</v>
      </c>
    </row>
    <row r="58" spans="1:7">
      <c r="A58" t="s">
        <v>41</v>
      </c>
      <c r="B58" s="10">
        <f>M13+B57*(M11-M13)</f>
        <v>0.19885775595798982</v>
      </c>
    </row>
    <row r="59" spans="1:7">
      <c r="A59" t="s">
        <v>47</v>
      </c>
      <c r="B59" s="6">
        <v>5.8999999999999997E-2</v>
      </c>
      <c r="C59" s="6">
        <v>7.0999999999999994E-2</v>
      </c>
    </row>
    <row r="62" spans="1:7">
      <c r="A62" s="8" t="s">
        <v>48</v>
      </c>
      <c r="B62" s="11">
        <f>B58*B52+B59*B53*(1-M7)</f>
        <v>9.7777466967247428E-2</v>
      </c>
      <c r="C62" s="11">
        <f>B58*B52+C59*B53*(1-M7)</f>
        <v>0.10346124696724743</v>
      </c>
    </row>
    <row r="67" spans="1:13">
      <c r="I67" t="s">
        <v>50</v>
      </c>
      <c r="J67">
        <v>0.75</v>
      </c>
    </row>
    <row r="68" spans="1:13">
      <c r="A68" t="s">
        <v>49</v>
      </c>
      <c r="I68" t="s">
        <v>55</v>
      </c>
      <c r="J68" s="12">
        <f>3600/1.75</f>
        <v>2057.1428571428573</v>
      </c>
      <c r="L68" t="s">
        <v>36</v>
      </c>
      <c r="M68">
        <f>J68/3600</f>
        <v>0.57142857142857151</v>
      </c>
    </row>
    <row r="69" spans="1:13">
      <c r="I69" t="s">
        <v>28</v>
      </c>
      <c r="J69" s="12">
        <f>3600-J68</f>
        <v>1542.8571428571427</v>
      </c>
      <c r="L69" t="s">
        <v>37</v>
      </c>
      <c r="M69">
        <f>J69/3600</f>
        <v>0.42857142857142849</v>
      </c>
    </row>
    <row r="70" spans="1:13">
      <c r="A70" t="s">
        <v>50</v>
      </c>
      <c r="B70">
        <v>0.3</v>
      </c>
      <c r="I70" t="s">
        <v>57</v>
      </c>
      <c r="J70" s="7">
        <f>B37+J67*B37*(1-M7)</f>
        <v>1.325802924414786</v>
      </c>
    </row>
    <row r="71" spans="1:13">
      <c r="A71" t="s">
        <v>55</v>
      </c>
      <c r="B71" s="12">
        <f>3600/1.3</f>
        <v>2769.2307692307691</v>
      </c>
      <c r="D71" t="s">
        <v>36</v>
      </c>
      <c r="E71" s="7">
        <f>B71/3600</f>
        <v>0.76923076923076916</v>
      </c>
    </row>
    <row r="72" spans="1:13">
      <c r="A72" t="s">
        <v>28</v>
      </c>
      <c r="B72" s="12">
        <f>E33-B71</f>
        <v>830.76923076923094</v>
      </c>
      <c r="D72" t="s">
        <v>37</v>
      </c>
      <c r="E72" s="7">
        <f>B72/3600</f>
        <v>0.23076923076923081</v>
      </c>
    </row>
    <row r="73" spans="1:13">
      <c r="A73" t="s">
        <v>51</v>
      </c>
      <c r="B73" s="7">
        <f>B37+B70*B37*(1-M7)</f>
        <v>1.0443643068572692</v>
      </c>
      <c r="C73" t="s">
        <v>52</v>
      </c>
      <c r="I73" t="s">
        <v>58</v>
      </c>
    </row>
    <row r="74" spans="1:13">
      <c r="I74" t="s">
        <v>59</v>
      </c>
      <c r="J74" s="10">
        <f>M13+J70*(M11-M13)</f>
        <v>0.14538004781191183</v>
      </c>
    </row>
    <row r="75" spans="1:13">
      <c r="A75" t="s">
        <v>53</v>
      </c>
    </row>
    <row r="76" spans="1:13">
      <c r="A76" t="s">
        <v>54</v>
      </c>
      <c r="B76" s="10">
        <f>M13+B73*(M11-M13)</f>
        <v>0.12345597950418127</v>
      </c>
      <c r="I76" s="8" t="s">
        <v>48</v>
      </c>
      <c r="J76" s="11">
        <f>J74*M68+M69*B59*(1-M7)</f>
        <v>0.10153288446394962</v>
      </c>
      <c r="K76" s="11">
        <f>J74*M68+M69*C59*(1-M7)</f>
        <v>0.10528717017823533</v>
      </c>
    </row>
    <row r="78" spans="1:13">
      <c r="A78" t="s">
        <v>56</v>
      </c>
    </row>
    <row r="79" spans="1:13">
      <c r="A79" s="8" t="s">
        <v>48</v>
      </c>
      <c r="B79" s="11">
        <f>E71*B76+E72*B59*(1-M7)</f>
        <v>0.1049053688493702</v>
      </c>
      <c r="C79" s="11">
        <f>E71*B76+E72*C59*(1-M7)</f>
        <v>0.10692690731090866</v>
      </c>
    </row>
    <row r="87" spans="1:3">
      <c r="A87" t="s">
        <v>60</v>
      </c>
    </row>
    <row r="89" spans="1:3">
      <c r="A89" t="s">
        <v>50</v>
      </c>
      <c r="B89" t="s">
        <v>61</v>
      </c>
      <c r="C89" t="s">
        <v>62</v>
      </c>
    </row>
    <row r="90" spans="1:3">
      <c r="A90" s="9">
        <f>E36</f>
        <v>1.8476506881822501</v>
      </c>
      <c r="B90" s="11">
        <f>B62</f>
        <v>9.7777466967247428E-2</v>
      </c>
      <c r="C90" s="11">
        <f>C62</f>
        <v>0.10346124696724743</v>
      </c>
    </row>
    <row r="91" spans="1:3">
      <c r="A91">
        <f>B70</f>
        <v>0.3</v>
      </c>
      <c r="B91" s="10">
        <f>B79</f>
        <v>0.1049053688493702</v>
      </c>
      <c r="C91" s="10">
        <f>C79</f>
        <v>0.10692690731090866</v>
      </c>
    </row>
    <row r="92" spans="1:3">
      <c r="A92">
        <f>J67</f>
        <v>0.75</v>
      </c>
      <c r="B92" s="10">
        <f>J76</f>
        <v>0.10153288446394962</v>
      </c>
      <c r="C92" s="10">
        <f>K76</f>
        <v>0.10528717017823533</v>
      </c>
    </row>
    <row r="95" spans="1:3">
      <c r="A95" t="s">
        <v>63</v>
      </c>
    </row>
    <row r="96" spans="1:3">
      <c r="A96" t="s">
        <v>64</v>
      </c>
    </row>
  </sheetData>
  <mergeCells count="5">
    <mergeCell ref="H1:O4"/>
    <mergeCell ref="A17:B17"/>
    <mergeCell ref="F16:H16"/>
    <mergeCell ref="L6:M6"/>
    <mergeCell ref="D32:E32"/>
  </mergeCells>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F05F4-0A4E-0D4E-993B-AFB6554C4842}">
  <dimension ref="A34:M174"/>
  <sheetViews>
    <sheetView tabSelected="1" topLeftCell="A124" workbookViewId="0">
      <selection activeCell="F163" sqref="F163"/>
    </sheetView>
  </sheetViews>
  <sheetFormatPr baseColWidth="10" defaultRowHeight="15.6"/>
  <cols>
    <col min="10" max="10" width="13.19921875" bestFit="1" customWidth="1"/>
    <col min="12" max="12" width="11.69921875" bestFit="1" customWidth="1"/>
  </cols>
  <sheetData>
    <row r="34" spans="1:6">
      <c r="A34" t="s">
        <v>65</v>
      </c>
    </row>
    <row r="36" spans="1:6" ht="16.2" thickBot="1"/>
    <row r="37" spans="1:6">
      <c r="A37" s="13" t="s">
        <v>66</v>
      </c>
      <c r="B37" s="26" t="s">
        <v>85</v>
      </c>
      <c r="C37" s="14" t="s">
        <v>84</v>
      </c>
      <c r="D37" s="14" t="s">
        <v>67</v>
      </c>
      <c r="E37" s="14" t="s">
        <v>81</v>
      </c>
      <c r="F37" s="15" t="s">
        <v>68</v>
      </c>
    </row>
    <row r="38" spans="1:6">
      <c r="A38" s="46" t="s">
        <v>79</v>
      </c>
      <c r="B38" s="24">
        <v>45457</v>
      </c>
      <c r="C38" s="23">
        <v>83.11</v>
      </c>
      <c r="D38" s="45" t="s">
        <v>80</v>
      </c>
      <c r="E38" s="21"/>
      <c r="F38" s="22"/>
    </row>
    <row r="39" spans="1:6">
      <c r="A39" s="5" t="s">
        <v>69</v>
      </c>
      <c r="B39" s="27">
        <v>45535</v>
      </c>
      <c r="C39" s="3">
        <v>82.62</v>
      </c>
      <c r="D39" s="16">
        <v>5.33E-2</v>
      </c>
      <c r="E39" s="3">
        <f xml:space="preserve"> +(B39-$B$38)/365</f>
        <v>0.21369863013698631</v>
      </c>
      <c r="F39" s="25">
        <f t="shared" ref="F39:F48" si="0">+(C39/$C$38)^(1/E39)-(1+D39)</f>
        <v>-8.0591641133097247E-2</v>
      </c>
    </row>
    <row r="40" spans="1:6">
      <c r="A40" s="5" t="s">
        <v>70</v>
      </c>
      <c r="B40" s="27">
        <v>45565</v>
      </c>
      <c r="C40" s="3">
        <v>82.08</v>
      </c>
      <c r="D40" s="17">
        <v>5.2999999999999999E-2</v>
      </c>
      <c r="E40" s="3">
        <f t="shared" ref="E40:E48" si="1" xml:space="preserve"> +(B40-$B$38)/365</f>
        <v>0.29589041095890412</v>
      </c>
      <c r="F40" s="25">
        <f t="shared" si="0"/>
        <v>-9.4270375542678475E-2</v>
      </c>
    </row>
    <row r="41" spans="1:6">
      <c r="A41" s="5" t="s">
        <v>71</v>
      </c>
      <c r="B41" s="27">
        <v>45657</v>
      </c>
      <c r="C41" s="3">
        <v>80.48</v>
      </c>
      <c r="D41" s="17">
        <v>5.1999999999999998E-2</v>
      </c>
      <c r="E41" s="3">
        <f t="shared" si="1"/>
        <v>0.54794520547945202</v>
      </c>
      <c r="F41" s="25">
        <f t="shared" si="0"/>
        <v>-0.10899650822104368</v>
      </c>
    </row>
    <row r="42" spans="1:6">
      <c r="A42" s="5" t="s">
        <v>72</v>
      </c>
      <c r="B42" s="27">
        <v>45838</v>
      </c>
      <c r="C42" s="3">
        <v>78.150000000000006</v>
      </c>
      <c r="D42" s="17">
        <v>5.0299999999999997E-2</v>
      </c>
      <c r="E42" s="3">
        <f t="shared" si="1"/>
        <v>1.0438356164383562</v>
      </c>
      <c r="F42" s="25">
        <f t="shared" si="0"/>
        <v>-0.1075468756597856</v>
      </c>
    </row>
    <row r="43" spans="1:6">
      <c r="A43" s="5" t="s">
        <v>73</v>
      </c>
      <c r="B43" s="27">
        <v>46022</v>
      </c>
      <c r="C43" s="3">
        <v>76.31</v>
      </c>
      <c r="D43" s="17">
        <v>4.8500000000000001E-2</v>
      </c>
      <c r="E43" s="3">
        <f t="shared" si="1"/>
        <v>1.547945205479452</v>
      </c>
      <c r="F43" s="25">
        <f t="shared" si="0"/>
        <v>-0.10215183906649072</v>
      </c>
    </row>
    <row r="44" spans="1:6">
      <c r="A44" s="5" t="s">
        <v>74</v>
      </c>
      <c r="B44" s="27">
        <v>46203</v>
      </c>
      <c r="C44" s="3">
        <v>74.8</v>
      </c>
      <c r="D44" s="17">
        <v>4.6800000000000001E-2</v>
      </c>
      <c r="E44" s="3">
        <f t="shared" si="1"/>
        <v>2.043835616438356</v>
      </c>
      <c r="F44" s="25">
        <f t="shared" si="0"/>
        <v>-9.703799343566788E-2</v>
      </c>
    </row>
    <row r="45" spans="1:6">
      <c r="A45" s="5" t="s">
        <v>75</v>
      </c>
      <c r="B45" s="27">
        <v>46387</v>
      </c>
      <c r="C45" s="3">
        <v>73.510000000000005</v>
      </c>
      <c r="D45" s="17">
        <v>4.5499999999999999E-2</v>
      </c>
      <c r="E45" s="3">
        <f t="shared" si="1"/>
        <v>2.547945205479452</v>
      </c>
      <c r="F45" s="25">
        <f t="shared" si="0"/>
        <v>-9.2531620333418663E-2</v>
      </c>
    </row>
    <row r="46" spans="1:6">
      <c r="A46" s="5" t="s">
        <v>76</v>
      </c>
      <c r="B46" s="27">
        <v>46568</v>
      </c>
      <c r="C46" s="3">
        <v>72.540000000000006</v>
      </c>
      <c r="D46" s="17">
        <v>4.4400000000000002E-2</v>
      </c>
      <c r="E46" s="3">
        <f t="shared" si="1"/>
        <v>3.043835616438356</v>
      </c>
      <c r="F46" s="25">
        <f t="shared" si="0"/>
        <v>-8.8105448218405047E-2</v>
      </c>
    </row>
    <row r="47" spans="1:6">
      <c r="A47" s="5" t="s">
        <v>77</v>
      </c>
      <c r="B47" s="27">
        <v>46752</v>
      </c>
      <c r="C47" s="3">
        <v>71.61</v>
      </c>
      <c r="D47" s="17">
        <v>4.3499999999999997E-2</v>
      </c>
      <c r="E47" s="3">
        <f t="shared" si="1"/>
        <v>3.547945205479452</v>
      </c>
      <c r="F47" s="25">
        <f t="shared" si="0"/>
        <v>-8.4607680487365999E-2</v>
      </c>
    </row>
    <row r="48" spans="1:6" ht="16.2" thickBot="1">
      <c r="A48" s="18" t="s">
        <v>78</v>
      </c>
      <c r="B48" s="28">
        <v>47483</v>
      </c>
      <c r="C48" s="19">
        <v>69.5</v>
      </c>
      <c r="D48" s="20">
        <v>4.2200000000000001E-2</v>
      </c>
      <c r="E48" s="3">
        <f t="shared" si="1"/>
        <v>5.5506849315068489</v>
      </c>
      <c r="F48" s="25">
        <f t="shared" si="0"/>
        <v>-7.3905630424500934E-2</v>
      </c>
    </row>
    <row r="56" spans="1:6">
      <c r="A56" t="s">
        <v>86</v>
      </c>
    </row>
    <row r="58" spans="1:6">
      <c r="A58" t="s">
        <v>82</v>
      </c>
      <c r="B58">
        <v>9</v>
      </c>
      <c r="C58" t="s">
        <v>83</v>
      </c>
    </row>
    <row r="60" spans="1:6" ht="16.2" thickBot="1"/>
    <row r="61" spans="1:6">
      <c r="A61" s="30" t="s">
        <v>66</v>
      </c>
      <c r="B61" s="31" t="s">
        <v>67</v>
      </c>
      <c r="C61" s="31" t="s">
        <v>81</v>
      </c>
      <c r="D61" s="31" t="s">
        <v>87</v>
      </c>
      <c r="E61" s="31" t="s">
        <v>88</v>
      </c>
      <c r="F61" s="39" t="s">
        <v>89</v>
      </c>
    </row>
    <row r="62" spans="1:6">
      <c r="A62" s="33" t="s">
        <v>69</v>
      </c>
      <c r="B62" s="16">
        <v>5.33E-2</v>
      </c>
      <c r="C62" s="29">
        <f>E39</f>
        <v>0.21369863013698631</v>
      </c>
      <c r="D62" s="29">
        <f>(1+B62)^C62</f>
        <v>1.0111587619807949</v>
      </c>
      <c r="E62" s="29">
        <f t="shared" ref="E62:E71" si="2">+($B$58*C62)*(1+B62)^(C62/2)</f>
        <v>1.9339886562861544</v>
      </c>
      <c r="F62" s="34">
        <f>$C$38*D62</f>
        <v>84.03740470822386</v>
      </c>
    </row>
    <row r="63" spans="1:6">
      <c r="A63" s="33" t="s">
        <v>70</v>
      </c>
      <c r="B63" s="16">
        <v>5.2999999999999999E-2</v>
      </c>
      <c r="C63" s="29">
        <f t="shared" ref="C63:C71" si="3">E40</f>
        <v>0.29589041095890412</v>
      </c>
      <c r="D63" s="29">
        <f t="shared" ref="D63:D71" si="4">(1+B63)^C63</f>
        <v>1.0153980849060136</v>
      </c>
      <c r="E63" s="29">
        <f t="shared" si="2"/>
        <v>2.6834380306056831</v>
      </c>
      <c r="F63" s="34">
        <f t="shared" ref="F63:F71" si="5">$C$38*D63</f>
        <v>84.389734836538793</v>
      </c>
    </row>
    <row r="64" spans="1:6">
      <c r="A64" s="33" t="s">
        <v>71</v>
      </c>
      <c r="B64" s="16">
        <v>5.1999999999999998E-2</v>
      </c>
      <c r="C64" s="29">
        <f t="shared" si="3"/>
        <v>0.54794520547945202</v>
      </c>
      <c r="D64" s="29">
        <f t="shared" si="4"/>
        <v>1.0281664280709168</v>
      </c>
      <c r="E64" s="29">
        <f t="shared" si="2"/>
        <v>5.0004760343477779</v>
      </c>
      <c r="F64" s="34">
        <f t="shared" si="5"/>
        <v>85.450911836973901</v>
      </c>
    </row>
    <row r="65" spans="1:6">
      <c r="A65" s="33" t="s">
        <v>72</v>
      </c>
      <c r="B65" s="16">
        <v>5.0299999999999997E-2</v>
      </c>
      <c r="C65" s="29">
        <f t="shared" si="3"/>
        <v>1.0438356164383562</v>
      </c>
      <c r="D65" s="29">
        <f t="shared" si="4"/>
        <v>1.0525619105735053</v>
      </c>
      <c r="E65" s="29">
        <f t="shared" si="2"/>
        <v>9.6382557408155503</v>
      </c>
      <c r="F65" s="34">
        <f t="shared" si="5"/>
        <v>87.478420387764032</v>
      </c>
    </row>
    <row r="66" spans="1:6">
      <c r="A66" s="33" t="s">
        <v>73</v>
      </c>
      <c r="B66" s="16">
        <v>4.8500000000000001E-2</v>
      </c>
      <c r="C66" s="29">
        <f t="shared" si="3"/>
        <v>1.547945205479452</v>
      </c>
      <c r="D66" s="29">
        <f t="shared" si="4"/>
        <v>1.0760657538141929</v>
      </c>
      <c r="E66" s="29">
        <f t="shared" si="2"/>
        <v>14.451652091037612</v>
      </c>
      <c r="F66" s="34">
        <f t="shared" si="5"/>
        <v>89.431824799497576</v>
      </c>
    </row>
    <row r="67" spans="1:6">
      <c r="A67" s="33" t="s">
        <v>74</v>
      </c>
      <c r="B67" s="16">
        <v>4.6800000000000001E-2</v>
      </c>
      <c r="C67" s="29">
        <f t="shared" si="3"/>
        <v>2.043835616438356</v>
      </c>
      <c r="D67" s="29">
        <f t="shared" si="4"/>
        <v>1.0979894471029703</v>
      </c>
      <c r="E67" s="29">
        <f t="shared" si="2"/>
        <v>19.274696816657588</v>
      </c>
      <c r="F67" s="34">
        <f t="shared" si="5"/>
        <v>91.253902948727855</v>
      </c>
    </row>
    <row r="68" spans="1:6">
      <c r="A68" s="33" t="s">
        <v>75</v>
      </c>
      <c r="B68" s="16">
        <v>4.5499999999999999E-2</v>
      </c>
      <c r="C68" s="29">
        <f t="shared" si="3"/>
        <v>2.547945205479452</v>
      </c>
      <c r="D68" s="29">
        <f t="shared" si="4"/>
        <v>1.1200478785913701</v>
      </c>
      <c r="E68" s="29">
        <f t="shared" si="2"/>
        <v>24.268944441299823</v>
      </c>
      <c r="F68" s="34">
        <f t="shared" si="5"/>
        <v>93.087179189728772</v>
      </c>
    </row>
    <row r="69" spans="1:6">
      <c r="A69" s="33" t="s">
        <v>76</v>
      </c>
      <c r="B69" s="16">
        <v>4.4400000000000002E-2</v>
      </c>
      <c r="C69" s="29">
        <f t="shared" si="3"/>
        <v>3.043835616438356</v>
      </c>
      <c r="D69" s="29">
        <f t="shared" si="4"/>
        <v>1.1413730926234</v>
      </c>
      <c r="E69" s="29">
        <f t="shared" si="2"/>
        <v>29.266953593673467</v>
      </c>
      <c r="F69" s="34">
        <f t="shared" si="5"/>
        <v>94.859517727930779</v>
      </c>
    </row>
    <row r="70" spans="1:6">
      <c r="A70" s="33" t="s">
        <v>77</v>
      </c>
      <c r="B70" s="16">
        <v>4.3499999999999997E-2</v>
      </c>
      <c r="C70" s="29">
        <f t="shared" si="3"/>
        <v>3.547945205479452</v>
      </c>
      <c r="D70" s="29">
        <f t="shared" si="4"/>
        <v>1.1630816700566016</v>
      </c>
      <c r="E70" s="29">
        <f t="shared" si="2"/>
        <v>34.436937237784186</v>
      </c>
      <c r="F70" s="34">
        <f t="shared" si="5"/>
        <v>96.663717598404162</v>
      </c>
    </row>
    <row r="71" spans="1:6" ht="16.2" thickBot="1">
      <c r="A71" s="35" t="s">
        <v>78</v>
      </c>
      <c r="B71" s="36">
        <v>4.2200000000000001E-2</v>
      </c>
      <c r="C71" s="37">
        <f t="shared" si="3"/>
        <v>5.5506849315068489</v>
      </c>
      <c r="D71" s="37">
        <f t="shared" si="4"/>
        <v>1.2578843887889686</v>
      </c>
      <c r="E71" s="37">
        <f t="shared" si="2"/>
        <v>56.028558568958992</v>
      </c>
      <c r="F71" s="38">
        <f t="shared" si="5"/>
        <v>104.54277155225118</v>
      </c>
    </row>
    <row r="72" spans="1:6">
      <c r="E72" s="12"/>
    </row>
    <row r="76" spans="1:6" ht="16.2" thickBot="1"/>
    <row r="77" spans="1:6">
      <c r="A77" s="30" t="s">
        <v>66</v>
      </c>
      <c r="B77" s="31" t="s">
        <v>88</v>
      </c>
      <c r="C77" s="32" t="s">
        <v>90</v>
      </c>
      <c r="E77" s="47" t="s">
        <v>91</v>
      </c>
    </row>
    <row r="78" spans="1:6">
      <c r="A78" s="33" t="s">
        <v>69</v>
      </c>
      <c r="B78" s="29">
        <v>1.9339886562861544</v>
      </c>
      <c r="C78" s="34">
        <f t="shared" ref="C78:C87" si="6">F62+E62-C39</f>
        <v>3.3513933645100167</v>
      </c>
      <c r="E78" s="40">
        <f>B78-C78</f>
        <v>-1.4174047082238623</v>
      </c>
    </row>
    <row r="79" spans="1:6">
      <c r="A79" s="33" t="s">
        <v>70</v>
      </c>
      <c r="B79" s="29">
        <v>2.6834380306056831</v>
      </c>
      <c r="C79" s="34">
        <f t="shared" si="6"/>
        <v>4.9931728671444802</v>
      </c>
      <c r="E79" s="40">
        <f t="shared" ref="E79:E87" si="7">B79-C79</f>
        <v>-2.3097348365387971</v>
      </c>
    </row>
    <row r="80" spans="1:6">
      <c r="A80" s="33" t="s">
        <v>71</v>
      </c>
      <c r="B80" s="29">
        <v>5.0004760343477779</v>
      </c>
      <c r="C80" s="34">
        <f t="shared" si="6"/>
        <v>9.9713878713216815</v>
      </c>
      <c r="E80" s="40">
        <f t="shared" si="7"/>
        <v>-4.9709118369739036</v>
      </c>
    </row>
    <row r="81" spans="1:5">
      <c r="A81" s="33" t="s">
        <v>72</v>
      </c>
      <c r="B81" s="29">
        <v>9.6382557408155503</v>
      </c>
      <c r="C81" s="34">
        <f t="shared" si="6"/>
        <v>18.966676128579579</v>
      </c>
      <c r="E81" s="40">
        <f t="shared" si="7"/>
        <v>-9.3284203877640284</v>
      </c>
    </row>
    <row r="82" spans="1:5">
      <c r="A82" s="33" t="s">
        <v>73</v>
      </c>
      <c r="B82" s="29">
        <v>14.451652091037612</v>
      </c>
      <c r="C82" s="34">
        <f t="shared" si="6"/>
        <v>27.57347689053519</v>
      </c>
      <c r="E82" s="40">
        <f t="shared" si="7"/>
        <v>-13.121824799497578</v>
      </c>
    </row>
    <row r="83" spans="1:5">
      <c r="A83" s="33" t="s">
        <v>74</v>
      </c>
      <c r="B83" s="29">
        <v>19.274696816657588</v>
      </c>
      <c r="C83" s="34">
        <f t="shared" si="6"/>
        <v>35.728599765385454</v>
      </c>
      <c r="E83" s="40">
        <f t="shared" si="7"/>
        <v>-16.453902948727865</v>
      </c>
    </row>
    <row r="84" spans="1:5">
      <c r="A84" s="33" t="s">
        <v>75</v>
      </c>
      <c r="B84" s="29">
        <v>24.268944441299823</v>
      </c>
      <c r="C84" s="34">
        <f t="shared" si="6"/>
        <v>43.84612363102859</v>
      </c>
      <c r="E84" s="40">
        <f t="shared" si="7"/>
        <v>-19.577179189728767</v>
      </c>
    </row>
    <row r="85" spans="1:5">
      <c r="A85" s="33" t="s">
        <v>76</v>
      </c>
      <c r="B85" s="29">
        <v>29.266953593673467</v>
      </c>
      <c r="C85" s="34">
        <f t="shared" si="6"/>
        <v>51.586471321604236</v>
      </c>
      <c r="E85" s="40">
        <f t="shared" si="7"/>
        <v>-22.319517727930769</v>
      </c>
    </row>
    <row r="86" spans="1:5">
      <c r="A86" s="33" t="s">
        <v>77</v>
      </c>
      <c r="B86" s="29">
        <v>34.436937237784186</v>
      </c>
      <c r="C86" s="34">
        <f t="shared" si="6"/>
        <v>59.490654836188341</v>
      </c>
      <c r="E86" s="40">
        <f t="shared" si="7"/>
        <v>-25.053717598404155</v>
      </c>
    </row>
    <row r="87" spans="1:5" ht="16.2" thickBot="1">
      <c r="A87" s="35" t="s">
        <v>78</v>
      </c>
      <c r="B87" s="37">
        <v>56.028558568958992</v>
      </c>
      <c r="C87" s="38">
        <f t="shared" si="6"/>
        <v>91.071330121210167</v>
      </c>
      <c r="E87" s="41">
        <f t="shared" si="7"/>
        <v>-35.042771552251175</v>
      </c>
    </row>
    <row r="88" spans="1:5">
      <c r="A88" s="12"/>
    </row>
    <row r="137" spans="1:6">
      <c r="A137" s="56" t="s">
        <v>85</v>
      </c>
      <c r="B137" s="57" t="s">
        <v>79</v>
      </c>
      <c r="C137" s="57" t="s">
        <v>94</v>
      </c>
      <c r="E137" s="61" t="s">
        <v>95</v>
      </c>
      <c r="F137" s="62" t="s">
        <v>103</v>
      </c>
    </row>
    <row r="138" spans="1:6">
      <c r="A138" t="s">
        <v>80</v>
      </c>
      <c r="B138">
        <f>+C38</f>
        <v>83.11</v>
      </c>
      <c r="C138">
        <v>567</v>
      </c>
      <c r="E138" s="63" t="s">
        <v>96</v>
      </c>
      <c r="F138" s="85">
        <f>+AVERAGE(C139:C140)</f>
        <v>541.10943328119356</v>
      </c>
    </row>
    <row r="139" spans="1:6">
      <c r="A139" s="49">
        <f>+B43</f>
        <v>46022</v>
      </c>
      <c r="B139" s="12">
        <f>+C41</f>
        <v>80.48</v>
      </c>
      <c r="C139" s="50">
        <f>+B139/$B$138*$C$138</f>
        <v>549.05739381542537</v>
      </c>
      <c r="E139" s="67" t="s">
        <v>97</v>
      </c>
      <c r="F139" s="86">
        <f>+AVERAGE(C140:C141)</f>
        <v>526.88497172422092</v>
      </c>
    </row>
    <row r="140" spans="1:6">
      <c r="A140" s="49">
        <f>+B44</f>
        <v>46203</v>
      </c>
      <c r="B140" s="12">
        <f>+C42</f>
        <v>78.150000000000006</v>
      </c>
      <c r="C140" s="50">
        <f>+B140/$B$138*$C$138</f>
        <v>533.16147274696186</v>
      </c>
      <c r="E140" s="67" t="s">
        <v>98</v>
      </c>
      <c r="F140" s="86">
        <f>+AVERAGE(C141:C142)</f>
        <v>515.45764649260013</v>
      </c>
    </row>
    <row r="141" spans="1:6">
      <c r="A141" s="49">
        <f>+B45</f>
        <v>46387</v>
      </c>
      <c r="B141" s="12">
        <f>+C43</f>
        <v>76.31</v>
      </c>
      <c r="C141" s="50">
        <f>+B141/$B$138*$C$138</f>
        <v>520.60847070147997</v>
      </c>
      <c r="E141" s="71" t="s">
        <v>99</v>
      </c>
      <c r="F141" s="87">
        <f>+AVERAGE(C142:C143)</f>
        <v>505.9064492840813</v>
      </c>
    </row>
    <row r="142" spans="1:6">
      <c r="A142" s="49">
        <f>+B46</f>
        <v>46568</v>
      </c>
      <c r="B142" s="12">
        <f>+C44</f>
        <v>74.8</v>
      </c>
      <c r="C142" s="50">
        <f>+B142/$B$138*$C$138</f>
        <v>510.30682228372035</v>
      </c>
    </row>
    <row r="143" spans="1:6">
      <c r="A143" s="49">
        <f>+B47</f>
        <v>46752</v>
      </c>
      <c r="B143" s="12">
        <f>+C45</f>
        <v>73.510000000000005</v>
      </c>
      <c r="C143" s="50">
        <f>+B143/$B$138*$C$138</f>
        <v>501.50607628444232</v>
      </c>
    </row>
    <row r="144" spans="1:6">
      <c r="C144" s="53"/>
    </row>
    <row r="148" spans="1:13">
      <c r="C148" t="s">
        <v>120</v>
      </c>
      <c r="D148" t="s">
        <v>119</v>
      </c>
      <c r="E148" t="s">
        <v>115</v>
      </c>
      <c r="F148" t="s">
        <v>93</v>
      </c>
    </row>
    <row r="149" spans="1:13">
      <c r="A149" t="s">
        <v>118</v>
      </c>
      <c r="C149">
        <f>+E149*30</f>
        <v>600</v>
      </c>
      <c r="D149">
        <f>20*3+600</f>
        <v>660</v>
      </c>
      <c r="E149">
        <v>20</v>
      </c>
      <c r="F149" s="48">
        <f>+E149*70000</f>
        <v>1400000</v>
      </c>
    </row>
    <row r="150" spans="1:13">
      <c r="A150" t="s">
        <v>117</v>
      </c>
      <c r="C150">
        <f>+E150*30</f>
        <v>150</v>
      </c>
      <c r="D150">
        <f>+D149/4</f>
        <v>165</v>
      </c>
      <c r="E150">
        <f>+E149/4</f>
        <v>5</v>
      </c>
      <c r="F150" s="48">
        <f>+E150*70000</f>
        <v>350000</v>
      </c>
    </row>
    <row r="152" spans="1:13">
      <c r="A152" t="s">
        <v>92</v>
      </c>
    </row>
    <row r="154" spans="1:13">
      <c r="A154" s="61" t="s">
        <v>95</v>
      </c>
      <c r="B154" s="62" t="s">
        <v>103</v>
      </c>
      <c r="C154" s="62" t="s">
        <v>100</v>
      </c>
      <c r="D154" s="62" t="s">
        <v>101</v>
      </c>
      <c r="E154" s="62" t="s">
        <v>105</v>
      </c>
      <c r="F154" s="62" t="s">
        <v>102</v>
      </c>
      <c r="G154" s="58" t="s">
        <v>107</v>
      </c>
      <c r="H154" s="58" t="s">
        <v>108</v>
      </c>
      <c r="I154" s="58" t="s">
        <v>109</v>
      </c>
      <c r="J154" s="58" t="s">
        <v>112</v>
      </c>
      <c r="K154" s="58" t="s">
        <v>113</v>
      </c>
      <c r="L154" s="58" t="s">
        <v>114</v>
      </c>
    </row>
    <row r="155" spans="1:13">
      <c r="A155" s="63" t="s">
        <v>96</v>
      </c>
      <c r="B155" s="64">
        <f>+F138</f>
        <v>541.10943328119356</v>
      </c>
      <c r="C155" s="65">
        <f>$C$150*12*B155</f>
        <v>973996.97990614839</v>
      </c>
      <c r="D155" s="64">
        <f>$D$150*35000</f>
        <v>5775000</v>
      </c>
      <c r="E155" s="65">
        <f>+D155+C155</f>
        <v>6748996.9799061483</v>
      </c>
      <c r="F155" s="64">
        <f>+$F$150</f>
        <v>350000</v>
      </c>
      <c r="G155" s="65">
        <f>+F155*$E$161</f>
        <v>6715211.3253519433</v>
      </c>
      <c r="H155" s="65">
        <f>+G155-E155</f>
        <v>-33785.654554205015</v>
      </c>
      <c r="I155" s="66">
        <f>+H155/D65</f>
        <v>-32098.496264031022</v>
      </c>
      <c r="J155" s="75">
        <f>+$E$163*F155</f>
        <v>6715757.1918058004</v>
      </c>
      <c r="K155" s="76">
        <f>+J155-E155</f>
        <v>-33239.788100347854</v>
      </c>
      <c r="L155" s="77">
        <f>+K155/D65</f>
        <v>-31579.888808855547</v>
      </c>
      <c r="M155" s="54"/>
    </row>
    <row r="156" spans="1:13">
      <c r="A156" s="67" t="s">
        <v>97</v>
      </c>
      <c r="B156" s="68">
        <f t="shared" ref="B156:B158" si="8">+F139</f>
        <v>526.88497172422092</v>
      </c>
      <c r="C156" s="68">
        <f t="shared" ref="C156:C158" si="9">$C$150*12*B156</f>
        <v>948392.94910359767</v>
      </c>
      <c r="D156" s="68">
        <f>$D$150*35000</f>
        <v>5775000</v>
      </c>
      <c r="E156" s="69">
        <f>+D156+C156</f>
        <v>6723392.9491035976</v>
      </c>
      <c r="F156" s="68">
        <f>+$F$150</f>
        <v>350000</v>
      </c>
      <c r="G156" s="69">
        <f>+F156*$E$161</f>
        <v>6715211.3253519433</v>
      </c>
      <c r="H156" s="69">
        <f>+G156-E156</f>
        <v>-8181.6237516542897</v>
      </c>
      <c r="I156" s="70">
        <f>+H156/D66</f>
        <v>-7603.2749138739273</v>
      </c>
      <c r="J156" s="67">
        <f>+$E$163*F156</f>
        <v>6715757.1918058004</v>
      </c>
      <c r="K156" s="78">
        <f t="shared" ref="K156:K158" si="10">+J156-E156</f>
        <v>-7635.7572977971286</v>
      </c>
      <c r="L156" s="79">
        <f>+K156/D66</f>
        <v>-7095.9950827648163</v>
      </c>
      <c r="M156" s="54"/>
    </row>
    <row r="157" spans="1:13">
      <c r="A157" s="67" t="s">
        <v>98</v>
      </c>
      <c r="B157" s="68">
        <f t="shared" si="8"/>
        <v>515.45764649260013</v>
      </c>
      <c r="C157" s="69">
        <f t="shared" si="9"/>
        <v>927823.76368668023</v>
      </c>
      <c r="D157" s="68">
        <f>$D$150*35000</f>
        <v>5775000</v>
      </c>
      <c r="E157" s="69">
        <f>+D157+C157</f>
        <v>6702823.7636866802</v>
      </c>
      <c r="F157" s="68">
        <f>+$F$150</f>
        <v>350000</v>
      </c>
      <c r="G157" s="69">
        <f>+F157*$E$161</f>
        <v>6715211.3253519433</v>
      </c>
      <c r="H157" s="69">
        <f>+G157-E157</f>
        <v>12387.561665263027</v>
      </c>
      <c r="I157" s="70">
        <f>+H157/D67</f>
        <v>11282.040731764257</v>
      </c>
      <c r="J157" s="67">
        <f>+$E$163*F157</f>
        <v>6715757.1918058004</v>
      </c>
      <c r="K157" s="78">
        <f t="shared" si="10"/>
        <v>12933.428119120188</v>
      </c>
      <c r="L157" s="79">
        <f>+K157/D67</f>
        <v>11779.191642729224</v>
      </c>
      <c r="M157" s="54"/>
    </row>
    <row r="158" spans="1:13">
      <c r="A158" s="71" t="s">
        <v>99</v>
      </c>
      <c r="B158" s="72">
        <f t="shared" si="8"/>
        <v>505.9064492840813</v>
      </c>
      <c r="C158" s="73">
        <f t="shared" si="9"/>
        <v>910631.6087113464</v>
      </c>
      <c r="D158" s="72">
        <f>$D$150*35000</f>
        <v>5775000</v>
      </c>
      <c r="E158" s="73">
        <f>+D158+C158</f>
        <v>6685631.6087113461</v>
      </c>
      <c r="F158" s="72">
        <f>+$F$150</f>
        <v>350000</v>
      </c>
      <c r="G158" s="73">
        <f>+F158*$E$161</f>
        <v>6715211.3253519433</v>
      </c>
      <c r="H158" s="73">
        <f>+G158-E158</f>
        <v>29579.716640597209</v>
      </c>
      <c r="I158" s="74">
        <f>+H158/D68</f>
        <v>26409.332320505964</v>
      </c>
      <c r="J158" s="71">
        <f>+$E$163*F158</f>
        <v>6715757.1918058004</v>
      </c>
      <c r="K158" s="80">
        <f t="shared" si="10"/>
        <v>30125.58309445437</v>
      </c>
      <c r="L158" s="81">
        <f>+K158/D68</f>
        <v>26896.692248854448</v>
      </c>
      <c r="M158" s="54"/>
    </row>
    <row r="159" spans="1:13">
      <c r="B159" s="52"/>
      <c r="E159" s="52">
        <f>+SUM(E155:E158)</f>
        <v>26860845.301407773</v>
      </c>
      <c r="F159" s="52">
        <f>+SUM(F155:F158)</f>
        <v>1400000</v>
      </c>
      <c r="G159" s="52">
        <f>+SUM(G155:G158)</f>
        <v>26860845.301407773</v>
      </c>
      <c r="H159" s="52">
        <f>+G159-E159</f>
        <v>0</v>
      </c>
      <c r="I159" s="52">
        <f>+SUM(I155:I158)</f>
        <v>-2010.3981256347288</v>
      </c>
      <c r="J159" s="50"/>
      <c r="K159" s="82">
        <f>+SUM(K155:K158)</f>
        <v>2183.4658154295757</v>
      </c>
      <c r="L159" s="83">
        <f>+SUM(L155:L158)</f>
        <v>-3.6689016269519925E-8</v>
      </c>
    </row>
    <row r="160" spans="1:13">
      <c r="G160" s="51"/>
    </row>
    <row r="161" spans="1:7">
      <c r="C161" t="s">
        <v>104</v>
      </c>
      <c r="E161" s="55">
        <f>+E159/F159</f>
        <v>19.186318072434123</v>
      </c>
      <c r="F161" t="s">
        <v>106</v>
      </c>
    </row>
    <row r="162" spans="1:7">
      <c r="C162" t="s">
        <v>111</v>
      </c>
      <c r="E162" s="60">
        <v>1.5596184395933849E-3</v>
      </c>
      <c r="F162" t="s">
        <v>106</v>
      </c>
      <c r="G162" t="s">
        <v>116</v>
      </c>
    </row>
    <row r="163" spans="1:7">
      <c r="C163" t="s">
        <v>110</v>
      </c>
      <c r="E163" s="59">
        <f>+E161+E162</f>
        <v>19.187877690873716</v>
      </c>
      <c r="F163" t="s">
        <v>106</v>
      </c>
    </row>
    <row r="167" spans="1:7" ht="31.2">
      <c r="A167" s="56" t="s">
        <v>85</v>
      </c>
      <c r="B167" s="57" t="s">
        <v>79</v>
      </c>
      <c r="C167" s="88" t="s">
        <v>121</v>
      </c>
    </row>
    <row r="168" spans="1:7">
      <c r="A168" s="49">
        <f>+B41</f>
        <v>45657</v>
      </c>
      <c r="B168" s="12">
        <f>+C41</f>
        <v>80.48</v>
      </c>
      <c r="C168" s="84">
        <f>+C155/B168/2</f>
        <v>6051.174079933824</v>
      </c>
    </row>
    <row r="169" spans="1:7">
      <c r="A169" s="49">
        <f t="shared" ref="A169:B169" si="11">+B42</f>
        <v>45838</v>
      </c>
      <c r="B169" s="12">
        <f t="shared" si="11"/>
        <v>78.150000000000006</v>
      </c>
      <c r="C169" s="84">
        <f>+C156/B169</f>
        <v>12135.546373686469</v>
      </c>
      <c r="D169" s="50"/>
    </row>
    <row r="170" spans="1:7">
      <c r="A170" s="49">
        <f t="shared" ref="A170:B170" si="12">+B43</f>
        <v>46022</v>
      </c>
      <c r="B170" s="12">
        <f t="shared" si="12"/>
        <v>76.31</v>
      </c>
      <c r="C170" s="84">
        <f>+C157/B170</f>
        <v>12158.613074127639</v>
      </c>
    </row>
    <row r="171" spans="1:7">
      <c r="A171" s="49">
        <f t="shared" ref="A171:B171" si="13">+B44</f>
        <v>46203</v>
      </c>
      <c r="B171" s="12">
        <f t="shared" si="13"/>
        <v>74.8</v>
      </c>
      <c r="C171" s="84">
        <f>+C158/B171</f>
        <v>12174.219367798749</v>
      </c>
    </row>
    <row r="172" spans="1:7">
      <c r="A172" s="49">
        <f t="shared" ref="A172:B172" si="14">+B45</f>
        <v>46387</v>
      </c>
      <c r="B172" s="12">
        <f t="shared" si="14"/>
        <v>73.510000000000005</v>
      </c>
      <c r="C172" s="84">
        <f>+C158/B172/2</f>
        <v>6193.9301367932685</v>
      </c>
    </row>
    <row r="173" spans="1:7">
      <c r="A173" s="49"/>
      <c r="B173" s="12"/>
      <c r="C173" s="50"/>
    </row>
    <row r="174" spans="1:7">
      <c r="C174" s="53"/>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P1</vt:lpstr>
      <vt:lpstr>P2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Josefina Paz Keymer Toha (josefina.keymer)</dc:creator>
  <cp:lastModifiedBy>Luis Llanos</cp:lastModifiedBy>
  <dcterms:created xsi:type="dcterms:W3CDTF">2024-06-28T20:13:05Z</dcterms:created>
  <dcterms:modified xsi:type="dcterms:W3CDTF">2024-07-02T16:27:24Z</dcterms:modified>
</cp:coreProperties>
</file>