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pipev\Documents\"/>
    </mc:Choice>
  </mc:AlternateContent>
  <xr:revisionPtr revIDLastSave="0" documentId="13_ncr:1_{D62B150A-391D-4F2E-A84A-81E0409DBFB0}" xr6:coauthVersionLast="47" xr6:coauthVersionMax="47" xr10:uidLastSave="{00000000-0000-0000-0000-000000000000}"/>
  <bookViews>
    <workbookView xWindow="-108" yWindow="-108" windowWidth="23256" windowHeight="12456" activeTab="2" xr2:uid="{C576FC33-F2BC-443A-A9D1-0859F90E00A1}"/>
  </bookViews>
  <sheets>
    <sheet name="P1" sheetId="1" r:id="rId1"/>
    <sheet name="P2" sheetId="3" r:id="rId2"/>
    <sheet name="P3"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3" i="3" l="1"/>
  <c r="F205" i="3"/>
  <c r="F210" i="3"/>
  <c r="C104" i="3"/>
  <c r="C105" i="3" s="1"/>
  <c r="E213" i="3"/>
  <c r="E205" i="3"/>
  <c r="E210" i="3" s="1"/>
  <c r="C197" i="2"/>
  <c r="C195" i="2"/>
  <c r="C193" i="2"/>
  <c r="C172" i="2"/>
  <c r="C174" i="2" s="1"/>
  <c r="C173" i="2"/>
  <c r="G174" i="2"/>
  <c r="G173" i="2"/>
  <c r="G172" i="2"/>
  <c r="G171" i="2"/>
  <c r="G170" i="2"/>
  <c r="C168" i="2"/>
  <c r="C151" i="2"/>
  <c r="C150" i="2"/>
  <c r="C149" i="2"/>
  <c r="E105" i="3" l="1"/>
  <c r="C106" i="3"/>
  <c r="E207" i="3"/>
  <c r="F207" i="3"/>
  <c r="C199" i="2"/>
  <c r="C152" i="2"/>
  <c r="C87" i="2"/>
  <c r="C157" i="3"/>
  <c r="C161" i="3" s="1"/>
  <c r="C133" i="3"/>
  <c r="C145" i="3" s="1"/>
  <c r="C170" i="3" s="1"/>
  <c r="C122" i="3"/>
  <c r="C123" i="3" s="1"/>
  <c r="E106" i="3" l="1"/>
  <c r="C114" i="3" s="1"/>
  <c r="C113" i="3"/>
  <c r="C165" i="3" s="1"/>
  <c r="C159" i="3"/>
  <c r="C57" i="2" l="1"/>
  <c r="C31" i="2"/>
  <c r="C29" i="2"/>
  <c r="D144" i="1"/>
  <c r="E144" i="1" s="1"/>
  <c r="C146" i="1"/>
  <c r="C147" i="1"/>
  <c r="C148" i="1" s="1"/>
  <c r="C79" i="1"/>
  <c r="D77" i="1"/>
  <c r="E77" i="1" s="1"/>
  <c r="C59" i="1"/>
  <c r="C38" i="1"/>
  <c r="C62" i="2" l="1"/>
  <c r="C66" i="2" s="1"/>
  <c r="E146" i="1"/>
  <c r="F144" i="1"/>
  <c r="D146" i="1"/>
  <c r="D79" i="1"/>
  <c r="D80" i="1" s="1"/>
  <c r="D81" i="1" s="1"/>
  <c r="F77" i="1"/>
  <c r="E79" i="1"/>
  <c r="C80" i="1"/>
  <c r="C81" i="1" s="1"/>
  <c r="C97" i="2" l="1"/>
  <c r="C101" i="2" s="1"/>
  <c r="D147" i="1"/>
  <c r="D148" i="1" s="1"/>
  <c r="E147" i="1"/>
  <c r="E148" i="1"/>
  <c r="F146" i="1"/>
  <c r="G144" i="1"/>
  <c r="G146" i="1" s="1"/>
  <c r="E80" i="1"/>
  <c r="E81" i="1" s="1"/>
  <c r="G77" i="1"/>
  <c r="G79" i="1" s="1"/>
  <c r="F79" i="1"/>
  <c r="C131" i="2" l="1"/>
  <c r="C143" i="2" s="1"/>
  <c r="G147" i="1"/>
  <c r="G148" i="1" s="1"/>
  <c r="F147" i="1"/>
  <c r="F148" i="1" s="1"/>
  <c r="F80" i="1"/>
  <c r="F81" i="1" s="1"/>
  <c r="G80" i="1"/>
  <c r="G81" i="1" s="1"/>
  <c r="C135" i="2" l="1"/>
  <c r="C139" i="2" s="1"/>
  <c r="C155" i="1"/>
  <c r="C96" i="1"/>
</calcChain>
</file>

<file path=xl/sharedStrings.xml><?xml version="1.0" encoding="utf-8"?>
<sst xmlns="http://schemas.openxmlformats.org/spreadsheetml/2006/main" count="216" uniqueCount="174">
  <si>
    <t>Datos</t>
  </si>
  <si>
    <t>Inversión</t>
  </si>
  <si>
    <t>Deuda</t>
  </si>
  <si>
    <t>rd</t>
  </si>
  <si>
    <t>Patrimonio</t>
  </si>
  <si>
    <t>tax</t>
  </si>
  <si>
    <t xml:space="preserve">Valor contable y libro </t>
  </si>
  <si>
    <t>Sabemos que V = D + E. Adicionalmente, sabemos que de toda la estructura de capital, la deuda representa el 70% y la deuda el 30%.</t>
  </si>
  <si>
    <t xml:space="preserve">De esta forma, es posible decir que D = 70%V y que E = 30%V. Luego, al reemplazar, tendremos lo siguiente: </t>
  </si>
  <si>
    <t>re</t>
  </si>
  <si>
    <t>Wacc</t>
  </si>
  <si>
    <t>Luego, reemplazando los datos conocidos en la fórmula del wacc</t>
  </si>
  <si>
    <t>Datos que cambian</t>
  </si>
  <si>
    <t>D</t>
  </si>
  <si>
    <t>E</t>
  </si>
  <si>
    <t>Luego, el desarrollo será exactamente análogo al inciso anterior</t>
  </si>
  <si>
    <t xml:space="preserve">Nota: Dentro de los datos se incluyó el factor de conversión entre valor contable y valor libro. Notemos que, debido a que la deuda y el patrimonio son entregados en términos porcentuales, al ajustar los valores por medio del factor las proporciones respectivas (70 y 30) se mantienen exactamente igual. Ocurre lo mismo para el desarrollo del inciso b) quedando en proporción de 80/20. La utilización (O no) de este factor en el desarrollo (Si es utilizado de manera correcta) no debería afectar los resultados. Por lo mismo, no se deberían aplicar descuentos si es que se utilizó mientras que el resultado del Wacc sea el mismo que el de esta Pauta. </t>
  </si>
  <si>
    <t>Año</t>
  </si>
  <si>
    <t>Ingresos</t>
  </si>
  <si>
    <t>Costos</t>
  </si>
  <si>
    <t>UAI</t>
  </si>
  <si>
    <t>Impuestos</t>
  </si>
  <si>
    <t>UDI</t>
  </si>
  <si>
    <t xml:space="preserve">Dada la información, podemos calcular los flujos año a año que obtendrá el proyecto </t>
  </si>
  <si>
    <t>Luego, calcularemos el VAN del proyecto para poder evaluarlo</t>
  </si>
  <si>
    <t xml:space="preserve">Para calcular el VAN es posible utilizar la función VNA en excel. En donde el primer parámetro debe ser el WACC calculado en A y los siguientes deben ser los flujos de cada año. Finalmente se le debe restar la inversión inicial. </t>
  </si>
  <si>
    <t>Luego, remplazando los datos, se tendrá:</t>
  </si>
  <si>
    <t xml:space="preserve">VAN </t>
  </si>
  <si>
    <t>Finalmente, dado que el VAN es negativo, podemos concluir que, al menos durante los primeros 5 años de funcionamiento, la inversión no resulta rentable. Sin embargo, es importante recordar que los estadios son activos diseñados para tener una vida útil mucho más prolongada que 5 años. Por lo tanto, aunque el proyecto no sea rentable en este horizonte de evaluación, es probable que la rentabilidad mejore en el futuro, una vez que se considere un plazo de evaluación más largo.</t>
  </si>
  <si>
    <t xml:space="preserve">Nota: Sólo era necesario incluir la conclusión, es decir, mencionar si es que el proyecto es rentable, o no dado el VAN. </t>
  </si>
  <si>
    <t>En primer lugar, para evaluar este proyecto de compra de la franquicia en EE.UU, la administración del Everton debe utilizar el WACC representativo de EE.UU, que es del 12%. Esto se debe a que el proyecto se llevará a cabo en ese país, lo que implica que los costos de financiamiento (tasas de interés y costo del capital) serán diferentes a los del Reino Unido debido a las características del mercado local. El WACC de EE.UU. refleja mejor los riesgos y condiciones del mercado estadounidense, como las tasas de interés más altas y el costo de capital más elevado en comparación con el mercado de origen.</t>
  </si>
  <si>
    <t>Luego, los datos serán</t>
  </si>
  <si>
    <t>Crecimiento</t>
  </si>
  <si>
    <t>Gastos</t>
  </si>
  <si>
    <t>Tax</t>
  </si>
  <si>
    <t>Nuevamente, se hará la evaluación para los primeros 5 años.</t>
  </si>
  <si>
    <t>Nuevamente, utilizando la función VNA</t>
  </si>
  <si>
    <t>VAN</t>
  </si>
  <si>
    <t>rm</t>
  </si>
  <si>
    <t>rf</t>
  </si>
  <si>
    <t>N acciones</t>
  </si>
  <si>
    <t>Precio</t>
  </si>
  <si>
    <t>La emisión de deuda es una opción para financiar la adquisición de B mediante préstamos bancarios o bonos. Esta fuente permite a A financiar la compra sin diluir la propiedad de los accionistas actuales, preservando así el control sobre la empresa. Además, los intereses de la deuda son deducibles de impuestos, lo cual puede reducir la carga fiscal. Sin embargo, el financiamiento mediante deuda aumenta el apalancamiento financiero de A, lo que podría afectar su perfil de riesgo y sus costos de financiamiento en el futuro. Además, los pagos de intereses deben realizarse regularmente, independientemente del rendimiento de la inversión en B, lo cual podría presionar la liquidez de A.</t>
  </si>
  <si>
    <t xml:space="preserve">La emisión de acciones permite a A obtener capital sin incurrir en una obligación de pago de intereses, evitando así comprometer sus flujos de caja. Al aumentar el capital, se reduce el riesgo financiero y el apalancamiento de la empresa, haciéndola menos vulnerable a las fluctuaciones de la economía. Sin embargo, emitir nuevas acciones implica una dilución de la propiedad de los accionistas actuales, lo cual podría disminuir su control en la toma de decisiones. Además, una emisión significativa podría ser percibida negativamente por el mercado, afectando el precio de las acciones de A. </t>
  </si>
  <si>
    <t>Patrimonio (Emisión de acciones)</t>
  </si>
  <si>
    <t>Híbrido</t>
  </si>
  <si>
    <t>El financiamiento híbrido, como los bonos convertibles o las acciones preferentes, combina características de deuda y capital. Esta estructura permite a A obtener fondos a una tasa de interés atractiva, con la posibilidad de que los bonos se conviertan en acciones en el futuro, según ciertos términos. Inicialmente, esto evita la dilución de la propiedad de los accionistas comunes, ofreciendo a su vez flexibilidad en la estructura de financiamiento. Sin embargo, los instrumentos híbridos son más complejos y requieren un análisis detallado de los términos de conversión. Además, si eventualmente se convierten en acciones, podrían diluir la participación accionaria en el futuro.</t>
  </si>
  <si>
    <t>Reservas de capital</t>
  </si>
  <si>
    <t>Dentro de las posibles opciones de financiamiento que puede considerar la empresa A existen 4.</t>
  </si>
  <si>
    <t>Si A cuenta con reservas de efectivo suficientes, podría optar por financiar la adquisición sin recurrir a deuda o emisión de acciones. Esta opción tiene la ventaja de evitar costos financieros adicionales, ya que no se requiere el pago de intereses, y permite a A mantener el control accionario y una estructura de apalancamiento baja. No obstante, la utilización de efectivo reduce la liquidez de A, limitando su capacidad de respuesta ante necesidades de capital o emergencias futuras. Además, utilizar efectivo en esta operación implica renunciar a otras posibles inversiones que podrían ofrecer un rendimiento superior por lo tanto existe un costo de capital por utilizar este método.</t>
  </si>
  <si>
    <t>σAM</t>
  </si>
  <si>
    <t>σBM</t>
  </si>
  <si>
    <t>σMM</t>
  </si>
  <si>
    <t>ρAB</t>
  </si>
  <si>
    <t xml:space="preserve">Para que la empresa A evalue los flujos de caja de los activos de la empresa B debería utilizar el WACC de esta misma, es  decir, A debe usar el retorno de los activos propios de la empresa que desea adquirir. </t>
  </si>
  <si>
    <t>Finalmente, dado que el VAN es negativo, podemos concluir que, al menos durante los primeros 5 años de funcionamiento, la inversión no resulta rentable. Es notable mencionar que, la inversión en mercados futbolísiticos no suelen ser una inversión rentable. Esto pues la forma en que los clubes adquieren ingresos es mediante la obtención de titulos y torneos importantes para los cuales es necesaria una fuerte inversión en jugadores e infraestructura de manera sostenida para recién empeazar a tener resultados positivos. Un ejemplo notable es el club Manchester City, el cúal para obtener su primer titulo internacional debió invertir más de 1,454.26 millones de euros con un promedio de 150 millones de euros por año.</t>
  </si>
  <si>
    <t>Luego, la fórmula del WACC es:</t>
  </si>
  <si>
    <t>En donde necesitamos conocer la estructura de capital de la empresa B así como sus respectivas tasas de descuento asociadas al patrimonio y la deuda.</t>
  </si>
  <si>
    <t>Recordemos que la estrutura de la empresa B se ve  así:</t>
  </si>
  <si>
    <t>Deuda Total</t>
  </si>
  <si>
    <t>De esta forma, las proporciones E/V y D/V serán:</t>
  </si>
  <si>
    <t>D/V</t>
  </si>
  <si>
    <t>E/V</t>
  </si>
  <si>
    <t>Luego, requerimos conocer los respectivos costos de la deuda, del patrimonio y la tasa de impuestos</t>
  </si>
  <si>
    <t>Sabemos que, para conocer los betas de la  deuda y el patrimonio podemos usar las parametrizaciones por CAPM.</t>
  </si>
  <si>
    <t>Luego, se tendrá lo siguiente:</t>
  </si>
  <si>
    <t>B_D</t>
  </si>
  <si>
    <t>B_E</t>
  </si>
  <si>
    <t>El hecho de que el beta de la deuda sea 0 nos tiende hacer pensar que el porcentaje de deuda que la empresa ha suscrito  es libre de riesgo</t>
  </si>
  <si>
    <t>Para calcular el Wacc utilizaremos la fórmula corriente</t>
  </si>
  <si>
    <t xml:space="preserve">En donde sabemos que la deuda es del 15% del valor </t>
  </si>
  <si>
    <t>Además, sabemos que el valor de las acciones es de $17 y que existen 10 Millones de acciones. Luego, el valor del patrimonio de Sheinara será:</t>
  </si>
  <si>
    <t>Luego, sabemos que la estructura de capital de la empresa está formada por 85% patrimonio y 15% deuda. Luego, podemos aplicar una regla de 3</t>
  </si>
  <si>
    <t xml:space="preserve">D </t>
  </si>
  <si>
    <t>Finalmente se puede calcular el WACC</t>
  </si>
  <si>
    <t>WACC</t>
  </si>
  <si>
    <t xml:space="preserve">Para el costo de la deuda, podemos suponer que este será equivalente a la proporción de intereses págados. </t>
  </si>
  <si>
    <t>Intereses</t>
  </si>
  <si>
    <t>Pasivos financieros LP + CP</t>
  </si>
  <si>
    <t>Necesitamos también calcular re. Para ello calcularemos el beta de la empresa</t>
  </si>
  <si>
    <t>Beta(B)</t>
  </si>
  <si>
    <t>Suponiendo que el beta que acabamos de calcular es el apalancado y que se cumplen los teoremas de Modigliani Y Miller.</t>
  </si>
  <si>
    <t>Entonces se cumple que Beta(Apalancado) es igual al beta del patrimonio.</t>
  </si>
  <si>
    <t>Finalmente, podemos utilizar CAPM para calcular el retorno del patrimonio.</t>
  </si>
  <si>
    <t>Antes de calcular el WACC debemos conocer el valor de la tasa de impuestos</t>
  </si>
  <si>
    <t>Para ello, veamos la información provista por el EE.RR</t>
  </si>
  <si>
    <t>EE.RR Empresa B</t>
  </si>
  <si>
    <t>Ventas</t>
  </si>
  <si>
    <t>Costos por venta</t>
  </si>
  <si>
    <t>Gastos Fijos</t>
  </si>
  <si>
    <t>Depreciación</t>
  </si>
  <si>
    <t>Tasa de impuestos</t>
  </si>
  <si>
    <t>Finalmente, podemos calcular el WACC</t>
  </si>
  <si>
    <t>Por otro lado, para que los accionistas evaluen los flujos se debería utilizar la tasa de descuento del patrimonio de la empresa, es decir, re, el cual fue calculado previamente</t>
  </si>
  <si>
    <t>El precio de adquisición de la firma B, que asciende a $4,660, presenta un valor considerable en relación con su estructura de ingresos y su situación financiera actual. B tiene ingresos significativamente menores que A y una rentabilidad inferior (utilidad neta de $515 frente a $2,185 de A), lo que sugiere que su desempeño financiero no justificaría un precio tan elevado. Además, A asumiría la deuda financiera de B, lo que podría incrementar el apalancamiento general y aumentar el riesgo financiero de A.
Otro punto clave es la alta correlación entre los retornos de A y B, con un valor de 0.75. Esto indica que ambas empresas responden de manera similar a los movimientos del mercado, lo que sugiere que la adquisición no aportará una diversificación significativa al portafolio de A. Por lo tanto, A no reduciría su exposición al riesgo de mercado de manera considerable, y el precio de adquisición debería justificarse más por las sinergias operativas y el valor directo que se pueda generar, en lugar de una diversificación de riesgos.
Dado que la adquisición no ofrecería una diversificación del riesgo, los beneficios esperados dependerán principalmente de las sinergias estratégicas y operativas que A pueda lograr al integrar a B. El precio podría ser razonable si A demuestra que puede generar economías de escala, mejorar la eficiencia de costos y expandir su presencia en el mercado. Sin embargo, A deberá gestionar la deuda adicional sin que afecte negativamente su posición financiera ni aumente el costo de capital.
En conclusión, aunque la adquisición de B puede tener sentido si A logra generar sinergias estratégicas y operativas, los accionistas de A deben considerar cuidadosamente los riesgos asociados, especialmente el aumento del apalancamiento y la falta de diversificación del riesgo. Recomiendo que los accionistas exijan una evaluación detallada de las sinergias y el plan de integración antes de aprobar la transacción. Si A puede demostrar cómo la adquisición generará valor a largo plazo y gestionar los riesgos asociados, el precio podría ser adecuado. De lo contrario, los accionistas deberían reconsiderar la transacción.</t>
  </si>
  <si>
    <t>Dado que se desea cambiar el retorno esperado del patrimonio, utilizaremos CAPM para conocer el nuevo Beta del patrimonio.</t>
  </si>
  <si>
    <t>Beta_E_Nuevo</t>
  </si>
  <si>
    <t>Adicionalmente, el beta desapalancado de la empresa será:</t>
  </si>
  <si>
    <t xml:space="preserve">Donde Beta_A es el desapalancado </t>
  </si>
  <si>
    <t>B(A)</t>
  </si>
  <si>
    <t>Luego, de esta misma ecuación podremos calcular la nueva proporción D/E</t>
  </si>
  <si>
    <t>D/E (Nuevo)</t>
  </si>
  <si>
    <t>Luego, por los teoremas de Modigliani y Miller, se tiene:</t>
  </si>
  <si>
    <t>El valor apalancado de la firma será</t>
  </si>
  <si>
    <t>VL</t>
  </si>
  <si>
    <t xml:space="preserve">Además, Sabemos que </t>
  </si>
  <si>
    <t>V = D(Nuevo) + E(Nuevo)</t>
  </si>
  <si>
    <t>Finalmente, se tendrá que</t>
  </si>
  <si>
    <t>Luego, reemplazando en la razón D/E</t>
  </si>
  <si>
    <t>D(Nuevo)</t>
  </si>
  <si>
    <t>Luego, el valor del patrimonio será</t>
  </si>
  <si>
    <t>E (Nuevo)</t>
  </si>
  <si>
    <t>Con esto se tendrá que el valor de la empresa (D +E) será</t>
  </si>
  <si>
    <t>V</t>
  </si>
  <si>
    <t>Si consideramos que V_U es 200 (El valor original de la firma)</t>
  </si>
  <si>
    <r>
      <t>200 + 21%</t>
    </r>
    <r>
      <rPr>
        <sz val="11"/>
        <color theme="1"/>
        <rFont val="Aptos Narrow"/>
        <family val="2"/>
      </rPr>
      <t>Δ</t>
    </r>
    <r>
      <rPr>
        <sz val="11"/>
        <color theme="1"/>
        <rFont val="Aptos Narrow"/>
        <family val="2"/>
        <scheme val="minor"/>
      </rPr>
      <t>D</t>
    </r>
  </si>
  <si>
    <t>Con ΔD = (D(Nuevo)-D(Viejo))</t>
  </si>
  <si>
    <t>200+21%(D(Nuevo)-30)</t>
  </si>
  <si>
    <t>E(Nuevo) = 196,3 - 0,79D(Nuevo)</t>
  </si>
  <si>
    <t>Y laa deuda que debe emitir la compañía será:</t>
  </si>
  <si>
    <t>Forma 1</t>
  </si>
  <si>
    <t>Forma 2</t>
  </si>
  <si>
    <t>Sabemos que la utilidad de la empresa será igual al retorno esperado por el patrimonio</t>
  </si>
  <si>
    <t>Utilidad (Antigua)</t>
  </si>
  <si>
    <t>UAI (Antigua)</t>
  </si>
  <si>
    <t>Intereses (Antiguos)</t>
  </si>
  <si>
    <t>EBIT</t>
  </si>
  <si>
    <t>Este valor no cambia con el apalancamiento.</t>
  </si>
  <si>
    <t>Esperamos llegar a un re del 14,5%. Esto imploca emitir deuda de X y reducir el patrimonio en X</t>
  </si>
  <si>
    <t>Deuda (Nueva)</t>
  </si>
  <si>
    <t>30 + X</t>
  </si>
  <si>
    <t xml:space="preserve">Patrimonio (Nuevo) </t>
  </si>
  <si>
    <t>170 + X</t>
  </si>
  <si>
    <t>Intereses (Nuevos)</t>
  </si>
  <si>
    <t>1,5 + X*rf</t>
  </si>
  <si>
    <t>Impuestos(Nuevos)</t>
  </si>
  <si>
    <t>21%*(UAI(Vieja) - X*5%)</t>
  </si>
  <si>
    <t>Utilidades (Nuevas)</t>
  </si>
  <si>
    <t>Utilidad(Antigua)-((1-21%)*X*5%)</t>
  </si>
  <si>
    <t>Luego, debe cumplirse si o si que E*re = Utilidades, es decir</t>
  </si>
  <si>
    <t>Luego, de despejar X se tendrá:</t>
  </si>
  <si>
    <t>X</t>
  </si>
  <si>
    <t>Esto implica que:</t>
  </si>
  <si>
    <t>E(Nuevo)</t>
  </si>
  <si>
    <t>V(Nuevo)</t>
  </si>
  <si>
    <t>Esto parece indicar que la proporción de deuda y patrimonio se mantiene constante. No obstante, esto no considera el incremento en el valor de la firma debido al aumento en la deuda por gracia del escudo tributario</t>
  </si>
  <si>
    <t>No obstante, por gracia del escudo tributario se tiene lo siguiene</t>
  </si>
  <si>
    <t>V(Final) = V+X*Tax</t>
  </si>
  <si>
    <t xml:space="preserve">Este incremento en el valor va directo al patrimonio  </t>
  </si>
  <si>
    <t>Por esto, el patrimonio será</t>
  </si>
  <si>
    <t>E(Final)</t>
  </si>
  <si>
    <t>Luego, debe cumplirse nuevamente la relación</t>
  </si>
  <si>
    <t>14,5%*(170-X+X*21%)</t>
  </si>
  <si>
    <t>D(Final)</t>
  </si>
  <si>
    <t>V(Final)</t>
  </si>
  <si>
    <t>Finalmente, debe aumentarse la deuda en 45 millones y el valor final será de 209,5 Millones aproximadamente</t>
  </si>
  <si>
    <t xml:space="preserve"> </t>
  </si>
  <si>
    <t xml:space="preserve">Nota: Pueden existir varias formas adicionales. Lo importantes es ser consistentes y llegar a valores de deuda y patrimnonio similares. </t>
  </si>
  <si>
    <t>A</t>
  </si>
  <si>
    <t>B</t>
  </si>
  <si>
    <t xml:space="preserve">FV </t>
  </si>
  <si>
    <t>Valor Libro</t>
  </si>
  <si>
    <t>FV/BV (Valor Econ. a Valor Libro)</t>
  </si>
  <si>
    <t>EBITDA</t>
  </si>
  <si>
    <t>FV/EBITDA (Veces)</t>
  </si>
  <si>
    <t>Utilidad</t>
  </si>
  <si>
    <t>ROE</t>
  </si>
  <si>
    <t>Datos Contables</t>
  </si>
  <si>
    <t>Datos Económicos</t>
  </si>
  <si>
    <t>Deuda financiera corriente</t>
  </si>
  <si>
    <t>Deuda financiera LP</t>
  </si>
  <si>
    <t>Valor Firma</t>
  </si>
  <si>
    <t>Aquí hacemos el supuesto de que el valor contable de la deuda es su valor económica, lo que es razonable dado la tasa que tiene. También es mas correcto asumir el valor de oferta sobre A que el valor contable.</t>
  </si>
  <si>
    <t>El precio de adquisición de la firma B presenta un premio importante respecto de su calor contable (22%). Sin embargo, el precio de las acciones de la empresa A presenta un premio respecto de su valor de mercado aún mayor (31%). 
En lo que respecta a las utilidades, la empresa B presenta una utilidad relativa al patrimonio (ROE) de 11,5% que es similar al de la empresa A (11,1%).
El múltiplo de FV/EBITDA queda más alto que el valor que tiene A (6 contra 7).
Así, el precio parece tener un precio alto, este se encuentra dentro de los rangos habituales para operaciones de adquisición. 
Con todo, la justificación debe estar en las sinergias de mercado, operacionales y financieras (B parece tener una deuda a una tasa más alta que A). 
En conclusión, aunque el precio ofrecido por A para la adquisición de B contempla un premio que está en los rangos que se suele ver para este tipo de operaciones, los accionistas de A deben considerar cuidadosamente los riesgos asociados, especialmente el aumento del apalancamiento y la falta de diversificación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</si>
</sst>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1" formatCode="_ * #,##0_ ;_ * \-#,##0_ ;_ * &quot;-&quot;_ ;_ @_ "/>
    <numFmt numFmtId="43" formatCode="_ * #,##0.00_ ;_ * \-#,##0.00_ ;_ * &quot;-&quot;??_ ;_ @_ "/>
    <numFmt numFmtId="164" formatCode="0.0"/>
    <numFmt numFmtId="165" formatCode="0.0%"/>
    <numFmt numFmtId="166" formatCode="_ * #,##0.00_ ;_ * \-#,##0.00_ ;_ * &quot;-&quot;_ ;_ @_ "/>
    <numFmt numFmtId="167" formatCode="_ * #,##0_ ;_ * \-#,##0_ ;_ * &quot;-&quot;?_ ;_ @_ "/>
  </numFmts>
  <fonts count="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rgb="FFFF0000"/>
      <name val="Aptos Narrow"/>
      <family val="2"/>
      <scheme val="minor"/>
    </font>
    <font>
      <b/>
      <sz val="11"/>
      <color theme="1"/>
      <name val="Aptos Narrow"/>
      <family val="2"/>
      <scheme val="minor"/>
    </font>
    <font>
      <sz val="11"/>
      <color theme="1"/>
      <name val="Aptos Narrow"/>
      <family val="2"/>
    </font>
  </fonts>
  <fills count="5">
    <fill>
      <patternFill patternType="none"/>
    </fill>
    <fill>
      <patternFill patternType="gray125"/>
    </fill>
    <fill>
      <patternFill patternType="solid">
        <fgColor rgb="FFFFFF00"/>
        <bgColor indexed="64"/>
      </patternFill>
    </fill>
    <fill>
      <patternFill patternType="solid">
        <fgColor theme="3" tint="0.749992370372631"/>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1" fontId="1" fillId="0" borderId="0" applyFont="0" applyFill="0" applyBorder="0" applyAlignment="0" applyProtection="0"/>
  </cellStyleXfs>
  <cellXfs count="58">
    <xf numFmtId="0" fontId="0" fillId="0" borderId="0" xfId="0"/>
    <xf numFmtId="0" fontId="0" fillId="0" borderId="1" xfId="0" applyBorder="1" applyAlignment="1">
      <alignment horizontal="center"/>
    </xf>
    <xf numFmtId="0" fontId="0" fillId="0" borderId="1" xfId="0" applyBorder="1"/>
    <xf numFmtId="9" fontId="0" fillId="0" borderId="1" xfId="0" applyNumberFormat="1" applyBorder="1"/>
    <xf numFmtId="9" fontId="0" fillId="0" borderId="1" xfId="0" applyNumberFormat="1" applyBorder="1" applyAlignment="1">
      <alignment horizontal="center"/>
    </xf>
    <xf numFmtId="164" fontId="0" fillId="0" borderId="1" xfId="1" applyNumberFormat="1" applyFont="1" applyBorder="1" applyAlignment="1">
      <alignment horizontal="center"/>
    </xf>
    <xf numFmtId="0" fontId="0" fillId="2" borderId="1" xfId="0" applyFill="1" applyBorder="1" applyAlignment="1">
      <alignment horizontal="center"/>
    </xf>
    <xf numFmtId="10" fontId="0" fillId="2" borderId="1" xfId="0" applyNumberFormat="1" applyFill="1" applyBorder="1" applyAlignment="1">
      <alignment horizontal="center"/>
    </xf>
    <xf numFmtId="10" fontId="0" fillId="2" borderId="1" xfId="1" applyNumberFormat="1" applyFont="1"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8" fontId="0" fillId="2" borderId="1" xfId="0" applyNumberFormat="1" applyFill="1" applyBorder="1" applyAlignment="1">
      <alignment horizontal="center"/>
    </xf>
    <xf numFmtId="0" fontId="0" fillId="0" borderId="0" xfId="0" applyAlignment="1">
      <alignment horizontal="left" vertical="top" wrapText="1"/>
    </xf>
    <xf numFmtId="0" fontId="3" fillId="0" borderId="0" xfId="0" applyFont="1"/>
    <xf numFmtId="0" fontId="0" fillId="0" borderId="0" xfId="0" applyAlignment="1">
      <alignment vertical="top" wrapText="1"/>
    </xf>
    <xf numFmtId="0" fontId="0" fillId="0" borderId="0" xfId="0" applyAlignment="1">
      <alignment horizontal="center" vertical="center" wrapText="1"/>
    </xf>
    <xf numFmtId="2" fontId="0" fillId="0" borderId="1" xfId="0" applyNumberFormat="1" applyBorder="1" applyAlignment="1">
      <alignment horizontal="center"/>
    </xf>
    <xf numFmtId="2" fontId="2" fillId="2" borderId="1" xfId="0" applyNumberFormat="1" applyFont="1" applyFill="1" applyBorder="1" applyAlignment="1">
      <alignment horizontal="center"/>
    </xf>
    <xf numFmtId="165" fontId="0" fillId="0" borderId="1" xfId="0" applyNumberFormat="1" applyBorder="1" applyAlignment="1">
      <alignment horizontal="center"/>
    </xf>
    <xf numFmtId="41" fontId="0" fillId="0" borderId="1" xfId="2" applyFont="1" applyBorder="1" applyAlignment="1">
      <alignment horizontal="center"/>
    </xf>
    <xf numFmtId="0" fontId="4" fillId="0" borderId="0" xfId="0" applyFont="1"/>
    <xf numFmtId="0" fontId="0" fillId="0" borderId="0" xfId="0" applyAlignment="1">
      <alignment horizontal="center"/>
    </xf>
    <xf numFmtId="0" fontId="5" fillId="0" borderId="0" xfId="0" applyFont="1"/>
    <xf numFmtId="0" fontId="5" fillId="0" borderId="1" xfId="0" applyFont="1" applyBorder="1" applyAlignment="1">
      <alignment horizontal="center"/>
    </xf>
    <xf numFmtId="10" fontId="0" fillId="0" borderId="1" xfId="0" applyNumberFormat="1" applyBorder="1" applyAlignment="1">
      <alignment horizontal="center"/>
    </xf>
    <xf numFmtId="166" fontId="0" fillId="0" borderId="0" xfId="2" applyNumberFormat="1" applyFont="1"/>
    <xf numFmtId="167" fontId="0" fillId="0" borderId="0" xfId="0" applyNumberFormat="1"/>
    <xf numFmtId="10" fontId="0" fillId="0" borderId="1" xfId="1" applyNumberFormat="1" applyFont="1" applyBorder="1"/>
    <xf numFmtId="0" fontId="0" fillId="0" borderId="0" xfId="0" applyAlignment="1">
      <alignment vertical="top"/>
    </xf>
    <xf numFmtId="43" fontId="0" fillId="0" borderId="0" xfId="0" applyNumberFormat="1"/>
    <xf numFmtId="0" fontId="0" fillId="2" borderId="1" xfId="0" applyFill="1" applyBorder="1"/>
    <xf numFmtId="166" fontId="0" fillId="2" borderId="1" xfId="2" applyNumberFormat="1" applyFont="1" applyFill="1" applyBorder="1"/>
    <xf numFmtId="10" fontId="0" fillId="2" borderId="1" xfId="0" applyNumberFormat="1" applyFill="1" applyBorder="1"/>
    <xf numFmtId="9" fontId="0" fillId="0" borderId="1" xfId="1" applyFont="1" applyBorder="1"/>
    <xf numFmtId="0" fontId="0" fillId="0" borderId="0" xfId="0" applyAlignment="1">
      <alignment horizontal="left" wrapText="1"/>
    </xf>
    <xf numFmtId="167" fontId="0" fillId="2" borderId="1" xfId="0" applyNumberFormat="1" applyFill="1" applyBorder="1"/>
    <xf numFmtId="167" fontId="0" fillId="2" borderId="1" xfId="0" applyNumberFormat="1" applyFill="1" applyBorder="1" applyAlignment="1">
      <alignment horizontal="center"/>
    </xf>
    <xf numFmtId="0" fontId="0" fillId="0" borderId="0" xfId="0" applyAlignment="1">
      <alignment horizontal="left"/>
    </xf>
    <xf numFmtId="0" fontId="5" fillId="0" borderId="0" xfId="0" applyFont="1" applyAlignment="1">
      <alignment horizontal="left" wrapText="1"/>
    </xf>
    <xf numFmtId="0" fontId="0" fillId="0" borderId="0" xfId="0" applyAlignment="1">
      <alignment wrapText="1"/>
    </xf>
    <xf numFmtId="0" fontId="0" fillId="0" borderId="1" xfId="0" applyBorder="1" applyAlignment="1">
      <alignment horizontal="left" vertical="top" wrapText="1"/>
    </xf>
    <xf numFmtId="0" fontId="0" fillId="0" borderId="1" xfId="0" applyBorder="1" applyAlignment="1">
      <alignment horizontal="center"/>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center" vertical="center" wrapText="1"/>
    </xf>
    <xf numFmtId="0" fontId="3" fillId="0" borderId="1" xfId="0" applyFont="1" applyBorder="1" applyAlignment="1">
      <alignment horizontal="left" wrapText="1"/>
    </xf>
    <xf numFmtId="0" fontId="0" fillId="0" borderId="1" xfId="0" applyBorder="1" applyAlignment="1">
      <alignment horizontal="center" vertical="top" wrapText="1"/>
    </xf>
    <xf numFmtId="0" fontId="0" fillId="0" borderId="1" xfId="0" applyBorder="1" applyAlignment="1">
      <alignment horizontal="left" wrapText="1"/>
    </xf>
    <xf numFmtId="0" fontId="0" fillId="0" borderId="0" xfId="0" applyAlignment="1">
      <alignment horizontal="left"/>
    </xf>
    <xf numFmtId="0" fontId="4" fillId="0" borderId="0" xfId="0" applyFont="1" applyAlignment="1">
      <alignment vertical="top" wrapText="1"/>
    </xf>
    <xf numFmtId="2" fontId="4" fillId="0" borderId="0" xfId="0" applyNumberFormat="1" applyFon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165" fontId="4" fillId="0" borderId="0" xfId="1" applyNumberFormat="1" applyFont="1" applyAlignment="1">
      <alignment horizontal="center"/>
    </xf>
    <xf numFmtId="0" fontId="0" fillId="0" borderId="0" xfId="0" applyAlignment="1">
      <alignment horizontal="center" wrapText="1"/>
    </xf>
    <xf numFmtId="0" fontId="0" fillId="0" borderId="0" xfId="0" applyBorder="1" applyAlignment="1">
      <alignment horizontal="left" vertical="top" wrapText="1"/>
    </xf>
    <xf numFmtId="0" fontId="0" fillId="0" borderId="0" xfId="0" applyBorder="1"/>
    <xf numFmtId="0" fontId="0" fillId="0" borderId="0" xfId="0" applyBorder="1" applyAlignment="1">
      <alignment vertical="top"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1.png"/><Relationship Id="rId7" Type="http://schemas.openxmlformats.org/officeDocument/2006/relationships/image" Target="../media/image14.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3.png"/><Relationship Id="rId5" Type="http://schemas.openxmlformats.org/officeDocument/2006/relationships/image" Target="../media/image2.jpe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8.png"/><Relationship Id="rId7" Type="http://schemas.openxmlformats.org/officeDocument/2006/relationships/image" Target="../media/image21.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2.jpeg"/><Relationship Id="rId9"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12</xdr:row>
      <xdr:rowOff>28490</xdr:rowOff>
    </xdr:from>
    <xdr:to>
      <xdr:col>6</xdr:col>
      <xdr:colOff>556260</xdr:colOff>
      <xdr:row>14</xdr:row>
      <xdr:rowOff>152485</xdr:rowOff>
    </xdr:to>
    <xdr:pic>
      <xdr:nvPicPr>
        <xdr:cNvPr id="2" name="Imagen 1">
          <a:extLst>
            <a:ext uri="{FF2B5EF4-FFF2-40B4-BE49-F238E27FC236}">
              <a16:creationId xmlns:a16="http://schemas.microsoft.com/office/drawing/2014/main" id="{288E46F5-532D-AAE9-04BB-4AB8357E8EFD}"/>
            </a:ext>
          </a:extLst>
        </xdr:cNvPr>
        <xdr:cNvPicPr>
          <a:picLocks noChangeAspect="1"/>
        </xdr:cNvPicPr>
      </xdr:nvPicPr>
      <xdr:blipFill>
        <a:blip xmlns:r="http://schemas.openxmlformats.org/officeDocument/2006/relationships" r:embed="rId1"/>
        <a:stretch>
          <a:fillRect/>
        </a:stretch>
      </xdr:blipFill>
      <xdr:spPr>
        <a:xfrm>
          <a:off x="800100" y="2223050"/>
          <a:ext cx="5394960" cy="489755"/>
        </a:xfrm>
        <a:prstGeom prst="rect">
          <a:avLst/>
        </a:prstGeom>
      </xdr:spPr>
    </xdr:pic>
    <xdr:clientData/>
  </xdr:twoCellAnchor>
  <xdr:twoCellAnchor editAs="oneCell">
    <xdr:from>
      <xdr:col>1</xdr:col>
      <xdr:colOff>594360</xdr:colOff>
      <xdr:row>15</xdr:row>
      <xdr:rowOff>15239</xdr:rowOff>
    </xdr:from>
    <xdr:to>
      <xdr:col>6</xdr:col>
      <xdr:colOff>53340</xdr:colOff>
      <xdr:row>24</xdr:row>
      <xdr:rowOff>138620</xdr:rowOff>
    </xdr:to>
    <xdr:pic>
      <xdr:nvPicPr>
        <xdr:cNvPr id="3" name="Imagen 2" descr="WACC Formula, Definition and Uses - Guide to Cost of Capital | Wall Street  Oasis">
          <a:extLst>
            <a:ext uri="{FF2B5EF4-FFF2-40B4-BE49-F238E27FC236}">
              <a16:creationId xmlns:a16="http://schemas.microsoft.com/office/drawing/2014/main" id="{3CD7B2C7-9347-29E2-DDCD-F1CB398CBD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6840" y="2758439"/>
          <a:ext cx="4305300" cy="1769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1066801</xdr:colOff>
      <xdr:row>29</xdr:row>
      <xdr:rowOff>1</xdr:rowOff>
    </xdr:from>
    <xdr:to>
      <xdr:col>6</xdr:col>
      <xdr:colOff>533401</xdr:colOff>
      <xdr:row>33</xdr:row>
      <xdr:rowOff>133591</xdr:rowOff>
    </xdr:to>
    <xdr:pic>
      <xdr:nvPicPr>
        <xdr:cNvPr id="4" name="Imagen 3">
          <a:extLst>
            <a:ext uri="{FF2B5EF4-FFF2-40B4-BE49-F238E27FC236}">
              <a16:creationId xmlns:a16="http://schemas.microsoft.com/office/drawing/2014/main" id="{41BE21A3-9A9E-4E3E-9B37-4C31047A6F1B}"/>
            </a:ext>
          </a:extLst>
        </xdr:cNvPr>
        <xdr:cNvPicPr>
          <a:picLocks noChangeAspect="1"/>
        </xdr:cNvPicPr>
      </xdr:nvPicPr>
      <xdr:blipFill>
        <a:blip xmlns:r="http://schemas.openxmlformats.org/officeDocument/2006/relationships" r:embed="rId3"/>
        <a:stretch>
          <a:fillRect/>
        </a:stretch>
      </xdr:blipFill>
      <xdr:spPr>
        <a:xfrm>
          <a:off x="1859281" y="5303521"/>
          <a:ext cx="4312920" cy="865110"/>
        </a:xfrm>
        <a:prstGeom prst="rect">
          <a:avLst/>
        </a:prstGeom>
      </xdr:spPr>
    </xdr:pic>
    <xdr:clientData/>
  </xdr:twoCellAnchor>
  <xdr:twoCellAnchor editAs="oneCell">
    <xdr:from>
      <xdr:col>1</xdr:col>
      <xdr:colOff>22861</xdr:colOff>
      <xdr:row>40</xdr:row>
      <xdr:rowOff>5282</xdr:rowOff>
    </xdr:from>
    <xdr:to>
      <xdr:col>7</xdr:col>
      <xdr:colOff>243841</xdr:colOff>
      <xdr:row>43</xdr:row>
      <xdr:rowOff>13477</xdr:rowOff>
    </xdr:to>
    <xdr:pic>
      <xdr:nvPicPr>
        <xdr:cNvPr id="5" name="Imagen 4">
          <a:extLst>
            <a:ext uri="{FF2B5EF4-FFF2-40B4-BE49-F238E27FC236}">
              <a16:creationId xmlns:a16="http://schemas.microsoft.com/office/drawing/2014/main" id="{C031F3BF-577E-04F3-148B-9C862EF1A424}"/>
            </a:ext>
          </a:extLst>
        </xdr:cNvPr>
        <xdr:cNvPicPr>
          <a:picLocks noChangeAspect="1"/>
        </xdr:cNvPicPr>
      </xdr:nvPicPr>
      <xdr:blipFill>
        <a:blip xmlns:r="http://schemas.openxmlformats.org/officeDocument/2006/relationships" r:embed="rId4"/>
        <a:stretch>
          <a:fillRect/>
        </a:stretch>
      </xdr:blipFill>
      <xdr:spPr>
        <a:xfrm>
          <a:off x="815341" y="7320482"/>
          <a:ext cx="5859780" cy="556835"/>
        </a:xfrm>
        <a:prstGeom prst="rect">
          <a:avLst/>
        </a:prstGeom>
      </xdr:spPr>
    </xdr:pic>
    <xdr:clientData/>
  </xdr:twoCellAnchor>
  <xdr:twoCellAnchor editAs="oneCell">
    <xdr:from>
      <xdr:col>1</xdr:col>
      <xdr:colOff>0</xdr:colOff>
      <xdr:row>52</xdr:row>
      <xdr:rowOff>0</xdr:rowOff>
    </xdr:from>
    <xdr:to>
      <xdr:col>4</xdr:col>
      <xdr:colOff>308559</xdr:colOff>
      <xdr:row>56</xdr:row>
      <xdr:rowOff>30480</xdr:rowOff>
    </xdr:to>
    <xdr:pic>
      <xdr:nvPicPr>
        <xdr:cNvPr id="6" name="Imagen 5">
          <a:extLst>
            <a:ext uri="{FF2B5EF4-FFF2-40B4-BE49-F238E27FC236}">
              <a16:creationId xmlns:a16="http://schemas.microsoft.com/office/drawing/2014/main" id="{89CEE3C4-2DE6-6B56-9504-D12BD8D96008}"/>
            </a:ext>
          </a:extLst>
        </xdr:cNvPr>
        <xdr:cNvPicPr>
          <a:picLocks noChangeAspect="1"/>
        </xdr:cNvPicPr>
      </xdr:nvPicPr>
      <xdr:blipFill>
        <a:blip xmlns:r="http://schemas.openxmlformats.org/officeDocument/2006/relationships" r:embed="rId5"/>
        <a:stretch>
          <a:fillRect/>
        </a:stretch>
      </xdr:blipFill>
      <xdr:spPr>
        <a:xfrm>
          <a:off x="792480" y="9509760"/>
          <a:ext cx="3569919" cy="762000"/>
        </a:xfrm>
        <a:prstGeom prst="rect">
          <a:avLst/>
        </a:prstGeom>
      </xdr:spPr>
    </xdr:pic>
    <xdr:clientData/>
  </xdr:twoCellAnchor>
  <xdr:twoCellAnchor editAs="oneCell">
    <xdr:from>
      <xdr:col>0</xdr:col>
      <xdr:colOff>784861</xdr:colOff>
      <xdr:row>60</xdr:row>
      <xdr:rowOff>17062</xdr:rowOff>
    </xdr:from>
    <xdr:to>
      <xdr:col>8</xdr:col>
      <xdr:colOff>68581</xdr:colOff>
      <xdr:row>67</xdr:row>
      <xdr:rowOff>76507</xdr:rowOff>
    </xdr:to>
    <xdr:pic>
      <xdr:nvPicPr>
        <xdr:cNvPr id="7" name="Imagen 6">
          <a:extLst>
            <a:ext uri="{FF2B5EF4-FFF2-40B4-BE49-F238E27FC236}">
              <a16:creationId xmlns:a16="http://schemas.microsoft.com/office/drawing/2014/main" id="{95EBE7B4-A85A-64AD-C403-0075E4FB4CFA}"/>
            </a:ext>
          </a:extLst>
        </xdr:cNvPr>
        <xdr:cNvPicPr>
          <a:picLocks noChangeAspect="1"/>
        </xdr:cNvPicPr>
      </xdr:nvPicPr>
      <xdr:blipFill>
        <a:blip xmlns:r="http://schemas.openxmlformats.org/officeDocument/2006/relationships" r:embed="rId6"/>
        <a:stretch>
          <a:fillRect/>
        </a:stretch>
      </xdr:blipFill>
      <xdr:spPr>
        <a:xfrm>
          <a:off x="784861" y="10989862"/>
          <a:ext cx="6507480" cy="1339605"/>
        </a:xfrm>
        <a:prstGeom prst="rect">
          <a:avLst/>
        </a:prstGeom>
      </xdr:spPr>
    </xdr:pic>
    <xdr:clientData/>
  </xdr:twoCellAnchor>
  <xdr:twoCellAnchor editAs="oneCell">
    <xdr:from>
      <xdr:col>0</xdr:col>
      <xdr:colOff>792479</xdr:colOff>
      <xdr:row>84</xdr:row>
      <xdr:rowOff>0</xdr:rowOff>
    </xdr:from>
    <xdr:to>
      <xdr:col>4</xdr:col>
      <xdr:colOff>579122</xdr:colOff>
      <xdr:row>88</xdr:row>
      <xdr:rowOff>22860</xdr:rowOff>
    </xdr:to>
    <xdr:pic>
      <xdr:nvPicPr>
        <xdr:cNvPr id="8" name="Imagen 7">
          <a:extLst>
            <a:ext uri="{FF2B5EF4-FFF2-40B4-BE49-F238E27FC236}">
              <a16:creationId xmlns:a16="http://schemas.microsoft.com/office/drawing/2014/main" id="{14803681-A423-6BAD-027A-E7CA044194B2}"/>
            </a:ext>
          </a:extLst>
        </xdr:cNvPr>
        <xdr:cNvPicPr>
          <a:picLocks noChangeAspect="1"/>
        </xdr:cNvPicPr>
      </xdr:nvPicPr>
      <xdr:blipFill>
        <a:blip xmlns:r="http://schemas.openxmlformats.org/officeDocument/2006/relationships" r:embed="rId7"/>
        <a:stretch>
          <a:fillRect/>
        </a:stretch>
      </xdr:blipFill>
      <xdr:spPr>
        <a:xfrm>
          <a:off x="792479" y="15361920"/>
          <a:ext cx="3840483" cy="754380"/>
        </a:xfrm>
        <a:prstGeom prst="rect">
          <a:avLst/>
        </a:prstGeom>
      </xdr:spPr>
    </xdr:pic>
    <xdr:clientData/>
  </xdr:twoCellAnchor>
  <xdr:twoCellAnchor editAs="oneCell">
    <xdr:from>
      <xdr:col>1</xdr:col>
      <xdr:colOff>8953</xdr:colOff>
      <xdr:row>106</xdr:row>
      <xdr:rowOff>30480</xdr:rowOff>
    </xdr:from>
    <xdr:to>
      <xdr:col>8</xdr:col>
      <xdr:colOff>534889</xdr:colOff>
      <xdr:row>121</xdr:row>
      <xdr:rowOff>57743</xdr:rowOff>
    </xdr:to>
    <xdr:pic>
      <xdr:nvPicPr>
        <xdr:cNvPr id="9" name="Imagen 8">
          <a:extLst>
            <a:ext uri="{FF2B5EF4-FFF2-40B4-BE49-F238E27FC236}">
              <a16:creationId xmlns:a16="http://schemas.microsoft.com/office/drawing/2014/main" id="{64BD600F-C661-D9E1-3F3F-2136B1E74F0B}"/>
            </a:ext>
          </a:extLst>
        </xdr:cNvPr>
        <xdr:cNvPicPr>
          <a:picLocks noChangeAspect="1"/>
        </xdr:cNvPicPr>
      </xdr:nvPicPr>
      <xdr:blipFill>
        <a:blip xmlns:r="http://schemas.openxmlformats.org/officeDocument/2006/relationships" r:embed="rId8"/>
        <a:stretch>
          <a:fillRect/>
        </a:stretch>
      </xdr:blipFill>
      <xdr:spPr>
        <a:xfrm>
          <a:off x="801433" y="19415760"/>
          <a:ext cx="6957216" cy="2770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7621</xdr:colOff>
      <xdr:row>2</xdr:row>
      <xdr:rowOff>7620</xdr:rowOff>
    </xdr:from>
    <xdr:to>
      <xdr:col>6</xdr:col>
      <xdr:colOff>701041</xdr:colOff>
      <xdr:row>5</xdr:row>
      <xdr:rowOff>174201</xdr:rowOff>
    </xdr:to>
    <xdr:pic>
      <xdr:nvPicPr>
        <xdr:cNvPr id="2" name="Imagen 1">
          <a:extLst>
            <a:ext uri="{FF2B5EF4-FFF2-40B4-BE49-F238E27FC236}">
              <a16:creationId xmlns:a16="http://schemas.microsoft.com/office/drawing/2014/main" id="{CE39C17A-40B9-3610-69C5-FDD1E21F22AF}"/>
            </a:ext>
          </a:extLst>
        </xdr:cNvPr>
        <xdr:cNvPicPr>
          <a:picLocks noChangeAspect="1"/>
        </xdr:cNvPicPr>
      </xdr:nvPicPr>
      <xdr:blipFill>
        <a:blip xmlns:r="http://schemas.openxmlformats.org/officeDocument/2006/relationships" r:embed="rId1"/>
        <a:stretch>
          <a:fillRect/>
        </a:stretch>
      </xdr:blipFill>
      <xdr:spPr>
        <a:xfrm>
          <a:off x="800101" y="373380"/>
          <a:ext cx="5608320" cy="715221"/>
        </a:xfrm>
        <a:prstGeom prst="rect">
          <a:avLst/>
        </a:prstGeom>
      </xdr:spPr>
    </xdr:pic>
    <xdr:clientData/>
  </xdr:twoCellAnchor>
  <xdr:twoCellAnchor editAs="oneCell">
    <xdr:from>
      <xdr:col>1</xdr:col>
      <xdr:colOff>1</xdr:colOff>
      <xdr:row>11</xdr:row>
      <xdr:rowOff>2244</xdr:rowOff>
    </xdr:from>
    <xdr:to>
      <xdr:col>7</xdr:col>
      <xdr:colOff>647700</xdr:colOff>
      <xdr:row>13</xdr:row>
      <xdr:rowOff>114443</xdr:rowOff>
    </xdr:to>
    <xdr:pic>
      <xdr:nvPicPr>
        <xdr:cNvPr id="3" name="Imagen 2">
          <a:extLst>
            <a:ext uri="{FF2B5EF4-FFF2-40B4-BE49-F238E27FC236}">
              <a16:creationId xmlns:a16="http://schemas.microsoft.com/office/drawing/2014/main" id="{55AD1BEC-F077-22F3-0918-1B1204ECFE0B}"/>
            </a:ext>
          </a:extLst>
        </xdr:cNvPr>
        <xdr:cNvPicPr>
          <a:picLocks noChangeAspect="1"/>
        </xdr:cNvPicPr>
      </xdr:nvPicPr>
      <xdr:blipFill>
        <a:blip xmlns:r="http://schemas.openxmlformats.org/officeDocument/2006/relationships" r:embed="rId2"/>
        <a:stretch>
          <a:fillRect/>
        </a:stretch>
      </xdr:blipFill>
      <xdr:spPr>
        <a:xfrm>
          <a:off x="792481" y="2013924"/>
          <a:ext cx="6355079" cy="477959"/>
        </a:xfrm>
        <a:prstGeom prst="rect">
          <a:avLst/>
        </a:prstGeom>
      </xdr:spPr>
    </xdr:pic>
    <xdr:clientData/>
  </xdr:twoCellAnchor>
  <xdr:twoCellAnchor editAs="oneCell">
    <xdr:from>
      <xdr:col>1</xdr:col>
      <xdr:colOff>1</xdr:colOff>
      <xdr:row>61</xdr:row>
      <xdr:rowOff>22658</xdr:rowOff>
    </xdr:from>
    <xdr:to>
      <xdr:col>8</xdr:col>
      <xdr:colOff>716281</xdr:colOff>
      <xdr:row>63</xdr:row>
      <xdr:rowOff>101062</xdr:rowOff>
    </xdr:to>
    <xdr:pic>
      <xdr:nvPicPr>
        <xdr:cNvPr id="4" name="Imagen 3">
          <a:extLst>
            <a:ext uri="{FF2B5EF4-FFF2-40B4-BE49-F238E27FC236}">
              <a16:creationId xmlns:a16="http://schemas.microsoft.com/office/drawing/2014/main" id="{E7BC90B7-23F5-180F-881E-5754078783A1}"/>
            </a:ext>
          </a:extLst>
        </xdr:cNvPr>
        <xdr:cNvPicPr>
          <a:picLocks noChangeAspect="1"/>
        </xdr:cNvPicPr>
      </xdr:nvPicPr>
      <xdr:blipFill>
        <a:blip xmlns:r="http://schemas.openxmlformats.org/officeDocument/2006/relationships" r:embed="rId3"/>
        <a:stretch>
          <a:fillRect/>
        </a:stretch>
      </xdr:blipFill>
      <xdr:spPr>
        <a:xfrm>
          <a:off x="792481" y="11178338"/>
          <a:ext cx="7216140" cy="444164"/>
        </a:xfrm>
        <a:prstGeom prst="rect">
          <a:avLst/>
        </a:prstGeom>
      </xdr:spPr>
    </xdr:pic>
    <xdr:clientData/>
  </xdr:twoCellAnchor>
  <xdr:twoCellAnchor editAs="oneCell">
    <xdr:from>
      <xdr:col>1</xdr:col>
      <xdr:colOff>7621</xdr:colOff>
      <xdr:row>74</xdr:row>
      <xdr:rowOff>7620</xdr:rowOff>
    </xdr:from>
    <xdr:to>
      <xdr:col>8</xdr:col>
      <xdr:colOff>650147</xdr:colOff>
      <xdr:row>78</xdr:row>
      <xdr:rowOff>22859</xdr:rowOff>
    </xdr:to>
    <xdr:pic>
      <xdr:nvPicPr>
        <xdr:cNvPr id="5" name="Imagen 4">
          <a:extLst>
            <a:ext uri="{FF2B5EF4-FFF2-40B4-BE49-F238E27FC236}">
              <a16:creationId xmlns:a16="http://schemas.microsoft.com/office/drawing/2014/main" id="{0BCC41B4-EF17-D696-790B-B6F1DBE8997A}"/>
            </a:ext>
          </a:extLst>
        </xdr:cNvPr>
        <xdr:cNvPicPr>
          <a:picLocks noChangeAspect="1"/>
        </xdr:cNvPicPr>
      </xdr:nvPicPr>
      <xdr:blipFill>
        <a:blip xmlns:r="http://schemas.openxmlformats.org/officeDocument/2006/relationships" r:embed="rId4"/>
        <a:stretch>
          <a:fillRect/>
        </a:stretch>
      </xdr:blipFill>
      <xdr:spPr>
        <a:xfrm>
          <a:off x="800101" y="13540740"/>
          <a:ext cx="7142386" cy="746759"/>
        </a:xfrm>
        <a:prstGeom prst="rect">
          <a:avLst/>
        </a:prstGeom>
      </xdr:spPr>
    </xdr:pic>
    <xdr:clientData/>
  </xdr:twoCellAnchor>
  <xdr:twoCellAnchor editAs="oneCell">
    <xdr:from>
      <xdr:col>1</xdr:col>
      <xdr:colOff>0</xdr:colOff>
      <xdr:row>85</xdr:row>
      <xdr:rowOff>0</xdr:rowOff>
    </xdr:from>
    <xdr:to>
      <xdr:col>5</xdr:col>
      <xdr:colOff>182880</xdr:colOff>
      <xdr:row>94</xdr:row>
      <xdr:rowOff>123381</xdr:rowOff>
    </xdr:to>
    <xdr:pic>
      <xdr:nvPicPr>
        <xdr:cNvPr id="6" name="Imagen 5" descr="WACC Formula, Definition and Uses - Guide to Cost of Capital | Wall Street  Oasis">
          <a:extLst>
            <a:ext uri="{FF2B5EF4-FFF2-40B4-BE49-F238E27FC236}">
              <a16:creationId xmlns:a16="http://schemas.microsoft.com/office/drawing/2014/main" id="{8432784E-336D-45C1-82D6-DEFD6685EB4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 y="15544800"/>
          <a:ext cx="4305300" cy="1769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126</xdr:row>
      <xdr:rowOff>0</xdr:rowOff>
    </xdr:from>
    <xdr:to>
      <xdr:col>2</xdr:col>
      <xdr:colOff>606553</xdr:colOff>
      <xdr:row>130</xdr:row>
      <xdr:rowOff>121920</xdr:rowOff>
    </xdr:to>
    <xdr:pic>
      <xdr:nvPicPr>
        <xdr:cNvPr id="7" name="Imagen 6">
          <a:extLst>
            <a:ext uri="{FF2B5EF4-FFF2-40B4-BE49-F238E27FC236}">
              <a16:creationId xmlns:a16="http://schemas.microsoft.com/office/drawing/2014/main" id="{657C94E6-DA82-EB0F-B8CE-91A6D033E60C}"/>
            </a:ext>
          </a:extLst>
        </xdr:cNvPr>
        <xdr:cNvPicPr>
          <a:picLocks noChangeAspect="1"/>
        </xdr:cNvPicPr>
      </xdr:nvPicPr>
      <xdr:blipFill>
        <a:blip xmlns:r="http://schemas.openxmlformats.org/officeDocument/2006/relationships" r:embed="rId6"/>
        <a:stretch>
          <a:fillRect/>
        </a:stretch>
      </xdr:blipFill>
      <xdr:spPr>
        <a:xfrm>
          <a:off x="792481" y="21945600"/>
          <a:ext cx="2206752" cy="853440"/>
        </a:xfrm>
        <a:prstGeom prst="rect">
          <a:avLst/>
        </a:prstGeom>
      </xdr:spPr>
    </xdr:pic>
    <xdr:clientData/>
  </xdr:twoCellAnchor>
  <xdr:twoCellAnchor editAs="oneCell">
    <xdr:from>
      <xdr:col>0</xdr:col>
      <xdr:colOff>792479</xdr:colOff>
      <xdr:row>139</xdr:row>
      <xdr:rowOff>0</xdr:rowOff>
    </xdr:from>
    <xdr:to>
      <xdr:col>5</xdr:col>
      <xdr:colOff>487680</xdr:colOff>
      <xdr:row>142</xdr:row>
      <xdr:rowOff>77733</xdr:rowOff>
    </xdr:to>
    <xdr:pic>
      <xdr:nvPicPr>
        <xdr:cNvPr id="8" name="Imagen 7">
          <a:extLst>
            <a:ext uri="{FF2B5EF4-FFF2-40B4-BE49-F238E27FC236}">
              <a16:creationId xmlns:a16="http://schemas.microsoft.com/office/drawing/2014/main" id="{E563E94B-4241-B9C5-EA5A-33C8534D195B}"/>
            </a:ext>
          </a:extLst>
        </xdr:cNvPr>
        <xdr:cNvPicPr>
          <a:picLocks noChangeAspect="1"/>
        </xdr:cNvPicPr>
      </xdr:nvPicPr>
      <xdr:blipFill>
        <a:blip xmlns:r="http://schemas.openxmlformats.org/officeDocument/2006/relationships" r:embed="rId7"/>
        <a:stretch>
          <a:fillRect/>
        </a:stretch>
      </xdr:blipFill>
      <xdr:spPr>
        <a:xfrm>
          <a:off x="792479" y="24323040"/>
          <a:ext cx="4610101" cy="626373"/>
        </a:xfrm>
        <a:prstGeom prst="rect">
          <a:avLst/>
        </a:prstGeom>
      </xdr:spPr>
    </xdr:pic>
    <xdr:clientData/>
  </xdr:twoCellAnchor>
  <xdr:twoCellAnchor editAs="oneCell">
    <xdr:from>
      <xdr:col>1</xdr:col>
      <xdr:colOff>22860</xdr:colOff>
      <xdr:row>172</xdr:row>
      <xdr:rowOff>9363</xdr:rowOff>
    </xdr:from>
    <xdr:to>
      <xdr:col>9</xdr:col>
      <xdr:colOff>637863</xdr:colOff>
      <xdr:row>176</xdr:row>
      <xdr:rowOff>89699</xdr:rowOff>
    </xdr:to>
    <xdr:pic>
      <xdr:nvPicPr>
        <xdr:cNvPr id="9" name="Imagen 8">
          <a:extLst>
            <a:ext uri="{FF2B5EF4-FFF2-40B4-BE49-F238E27FC236}">
              <a16:creationId xmlns:a16="http://schemas.microsoft.com/office/drawing/2014/main" id="{AB91E2F5-8D51-193A-A3BB-4382E42A0B61}"/>
            </a:ext>
          </a:extLst>
        </xdr:cNvPr>
        <xdr:cNvPicPr>
          <a:picLocks noChangeAspect="1"/>
        </xdr:cNvPicPr>
      </xdr:nvPicPr>
      <xdr:blipFill>
        <a:blip xmlns:r="http://schemas.openxmlformats.org/officeDocument/2006/relationships" r:embed="rId8"/>
        <a:stretch>
          <a:fillRect/>
        </a:stretch>
      </xdr:blipFill>
      <xdr:spPr>
        <a:xfrm>
          <a:off x="815340" y="30367443"/>
          <a:ext cx="7907343" cy="8118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15241</xdr:colOff>
      <xdr:row>13</xdr:row>
      <xdr:rowOff>20870</xdr:rowOff>
    </xdr:from>
    <xdr:to>
      <xdr:col>8</xdr:col>
      <xdr:colOff>620367</xdr:colOff>
      <xdr:row>15</xdr:row>
      <xdr:rowOff>112489</xdr:rowOff>
    </xdr:to>
    <xdr:pic>
      <xdr:nvPicPr>
        <xdr:cNvPr id="2" name="Imagen 1">
          <a:extLst>
            <a:ext uri="{FF2B5EF4-FFF2-40B4-BE49-F238E27FC236}">
              <a16:creationId xmlns:a16="http://schemas.microsoft.com/office/drawing/2014/main" id="{4219CDE6-4AAF-A1B5-AC79-C268C1768B83}"/>
            </a:ext>
          </a:extLst>
        </xdr:cNvPr>
        <xdr:cNvPicPr>
          <a:picLocks noChangeAspect="1"/>
        </xdr:cNvPicPr>
      </xdr:nvPicPr>
      <xdr:blipFill>
        <a:blip xmlns:r="http://schemas.openxmlformats.org/officeDocument/2006/relationships" r:embed="rId1"/>
        <a:stretch>
          <a:fillRect/>
        </a:stretch>
      </xdr:blipFill>
      <xdr:spPr>
        <a:xfrm>
          <a:off x="807721" y="2398310"/>
          <a:ext cx="6583680" cy="457379"/>
        </a:xfrm>
        <a:prstGeom prst="rect">
          <a:avLst/>
        </a:prstGeom>
      </xdr:spPr>
    </xdr:pic>
    <xdr:clientData/>
  </xdr:twoCellAnchor>
  <xdr:twoCellAnchor editAs="oneCell">
    <xdr:from>
      <xdr:col>0</xdr:col>
      <xdr:colOff>784860</xdr:colOff>
      <xdr:row>19</xdr:row>
      <xdr:rowOff>160020</xdr:rowOff>
    </xdr:from>
    <xdr:to>
      <xdr:col>5</xdr:col>
      <xdr:colOff>670810</xdr:colOff>
      <xdr:row>23</xdr:row>
      <xdr:rowOff>167640</xdr:rowOff>
    </xdr:to>
    <xdr:pic>
      <xdr:nvPicPr>
        <xdr:cNvPr id="3" name="Imagen 2">
          <a:extLst>
            <a:ext uri="{FF2B5EF4-FFF2-40B4-BE49-F238E27FC236}">
              <a16:creationId xmlns:a16="http://schemas.microsoft.com/office/drawing/2014/main" id="{8A25E975-E8B9-8E6C-C6CF-66D7536BB81F}"/>
            </a:ext>
          </a:extLst>
        </xdr:cNvPr>
        <xdr:cNvPicPr>
          <a:picLocks noChangeAspect="1"/>
        </xdr:cNvPicPr>
      </xdr:nvPicPr>
      <xdr:blipFill>
        <a:blip xmlns:r="http://schemas.openxmlformats.org/officeDocument/2006/relationships" r:embed="rId2"/>
        <a:stretch>
          <a:fillRect/>
        </a:stretch>
      </xdr:blipFill>
      <xdr:spPr>
        <a:xfrm>
          <a:off x="784860" y="3634740"/>
          <a:ext cx="4251581" cy="739140"/>
        </a:xfrm>
        <a:prstGeom prst="rect">
          <a:avLst/>
        </a:prstGeom>
      </xdr:spPr>
    </xdr:pic>
    <xdr:clientData/>
  </xdr:twoCellAnchor>
  <xdr:twoCellAnchor editAs="oneCell">
    <xdr:from>
      <xdr:col>1</xdr:col>
      <xdr:colOff>1</xdr:colOff>
      <xdr:row>34</xdr:row>
      <xdr:rowOff>160020</xdr:rowOff>
    </xdr:from>
    <xdr:to>
      <xdr:col>7</xdr:col>
      <xdr:colOff>637823</xdr:colOff>
      <xdr:row>37</xdr:row>
      <xdr:rowOff>53340</xdr:rowOff>
    </xdr:to>
    <xdr:pic>
      <xdr:nvPicPr>
        <xdr:cNvPr id="4" name="Imagen 3">
          <a:extLst>
            <a:ext uri="{FF2B5EF4-FFF2-40B4-BE49-F238E27FC236}">
              <a16:creationId xmlns:a16="http://schemas.microsoft.com/office/drawing/2014/main" id="{5B6CE7D4-D2B7-0891-AD21-B00D240D6042}"/>
            </a:ext>
          </a:extLst>
        </xdr:cNvPr>
        <xdr:cNvPicPr>
          <a:picLocks noChangeAspect="1"/>
        </xdr:cNvPicPr>
      </xdr:nvPicPr>
      <xdr:blipFill>
        <a:blip xmlns:r="http://schemas.openxmlformats.org/officeDocument/2006/relationships" r:embed="rId3"/>
        <a:stretch>
          <a:fillRect/>
        </a:stretch>
      </xdr:blipFill>
      <xdr:spPr>
        <a:xfrm>
          <a:off x="792481" y="6377940"/>
          <a:ext cx="5823896" cy="441960"/>
        </a:xfrm>
        <a:prstGeom prst="rect">
          <a:avLst/>
        </a:prstGeom>
      </xdr:spPr>
    </xdr:pic>
    <xdr:clientData/>
  </xdr:twoCellAnchor>
  <xdr:twoCellAnchor editAs="oneCell">
    <xdr:from>
      <xdr:col>1</xdr:col>
      <xdr:colOff>0</xdr:colOff>
      <xdr:row>40</xdr:row>
      <xdr:rowOff>0</xdr:rowOff>
    </xdr:from>
    <xdr:to>
      <xdr:col>5</xdr:col>
      <xdr:colOff>732149</xdr:colOff>
      <xdr:row>49</xdr:row>
      <xdr:rowOff>123381</xdr:rowOff>
    </xdr:to>
    <xdr:pic>
      <xdr:nvPicPr>
        <xdr:cNvPr id="5" name="Imagen 4" descr="WACC Formula, Definition and Uses - Guide to Cost of Capital | Wall Street  Oasis">
          <a:extLst>
            <a:ext uri="{FF2B5EF4-FFF2-40B4-BE49-F238E27FC236}">
              <a16:creationId xmlns:a16="http://schemas.microsoft.com/office/drawing/2014/main" id="{67B608DA-6216-4907-B5D2-C123D861085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2480" y="7315200"/>
          <a:ext cx="4305300" cy="1769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68</xdr:row>
      <xdr:rowOff>0</xdr:rowOff>
    </xdr:from>
    <xdr:to>
      <xdr:col>10</xdr:col>
      <xdr:colOff>574647</xdr:colOff>
      <xdr:row>75</xdr:row>
      <xdr:rowOff>23857</xdr:rowOff>
    </xdr:to>
    <xdr:pic>
      <xdr:nvPicPr>
        <xdr:cNvPr id="6" name="Imagen 5">
          <a:extLst>
            <a:ext uri="{FF2B5EF4-FFF2-40B4-BE49-F238E27FC236}">
              <a16:creationId xmlns:a16="http://schemas.microsoft.com/office/drawing/2014/main" id="{29B9595C-583E-49E0-A0EB-024DCF359B85}"/>
            </a:ext>
          </a:extLst>
        </xdr:cNvPr>
        <xdr:cNvPicPr>
          <a:picLocks noChangeAspect="1"/>
        </xdr:cNvPicPr>
      </xdr:nvPicPr>
      <xdr:blipFill>
        <a:blip xmlns:r="http://schemas.openxmlformats.org/officeDocument/2006/relationships" r:embed="rId5"/>
        <a:stretch>
          <a:fillRect/>
        </a:stretch>
      </xdr:blipFill>
      <xdr:spPr>
        <a:xfrm>
          <a:off x="792481" y="12435840"/>
          <a:ext cx="8138160" cy="1304017"/>
        </a:xfrm>
        <a:prstGeom prst="rect">
          <a:avLst/>
        </a:prstGeom>
      </xdr:spPr>
    </xdr:pic>
    <xdr:clientData/>
  </xdr:twoCellAnchor>
  <xdr:twoCellAnchor editAs="oneCell">
    <xdr:from>
      <xdr:col>1</xdr:col>
      <xdr:colOff>0</xdr:colOff>
      <xdr:row>80</xdr:row>
      <xdr:rowOff>0</xdr:rowOff>
    </xdr:from>
    <xdr:to>
      <xdr:col>5</xdr:col>
      <xdr:colOff>678430</xdr:colOff>
      <xdr:row>84</xdr:row>
      <xdr:rowOff>7620</xdr:rowOff>
    </xdr:to>
    <xdr:pic>
      <xdr:nvPicPr>
        <xdr:cNvPr id="7" name="Imagen 6">
          <a:extLst>
            <a:ext uri="{FF2B5EF4-FFF2-40B4-BE49-F238E27FC236}">
              <a16:creationId xmlns:a16="http://schemas.microsoft.com/office/drawing/2014/main" id="{A3A0C0A6-D211-42F6-9403-B9A6577A8BFB}"/>
            </a:ext>
          </a:extLst>
        </xdr:cNvPr>
        <xdr:cNvPicPr>
          <a:picLocks noChangeAspect="1"/>
        </xdr:cNvPicPr>
      </xdr:nvPicPr>
      <xdr:blipFill>
        <a:blip xmlns:r="http://schemas.openxmlformats.org/officeDocument/2006/relationships" r:embed="rId2"/>
        <a:stretch>
          <a:fillRect/>
        </a:stretch>
      </xdr:blipFill>
      <xdr:spPr>
        <a:xfrm>
          <a:off x="792480" y="14447520"/>
          <a:ext cx="4251581" cy="739140"/>
        </a:xfrm>
        <a:prstGeom prst="rect">
          <a:avLst/>
        </a:prstGeom>
      </xdr:spPr>
    </xdr:pic>
    <xdr:clientData/>
  </xdr:twoCellAnchor>
  <xdr:twoCellAnchor editAs="oneCell">
    <xdr:from>
      <xdr:col>1</xdr:col>
      <xdr:colOff>0</xdr:colOff>
      <xdr:row>90</xdr:row>
      <xdr:rowOff>0</xdr:rowOff>
    </xdr:from>
    <xdr:to>
      <xdr:col>4</xdr:col>
      <xdr:colOff>467807</xdr:colOff>
      <xdr:row>95</xdr:row>
      <xdr:rowOff>9654</xdr:rowOff>
    </xdr:to>
    <xdr:pic>
      <xdr:nvPicPr>
        <xdr:cNvPr id="8" name="Imagen 7">
          <a:extLst>
            <a:ext uri="{FF2B5EF4-FFF2-40B4-BE49-F238E27FC236}">
              <a16:creationId xmlns:a16="http://schemas.microsoft.com/office/drawing/2014/main" id="{1CBD48FA-5BA6-3FEA-D499-4944146BDF06}"/>
            </a:ext>
          </a:extLst>
        </xdr:cNvPr>
        <xdr:cNvPicPr>
          <a:picLocks noChangeAspect="1"/>
        </xdr:cNvPicPr>
      </xdr:nvPicPr>
      <xdr:blipFill>
        <a:blip xmlns:r="http://schemas.openxmlformats.org/officeDocument/2006/relationships" r:embed="rId6"/>
        <a:stretch>
          <a:fillRect/>
        </a:stretch>
      </xdr:blipFill>
      <xdr:spPr>
        <a:xfrm>
          <a:off x="792480" y="16276320"/>
          <a:ext cx="3248478" cy="924054"/>
        </a:xfrm>
        <a:prstGeom prst="rect">
          <a:avLst/>
        </a:prstGeom>
      </xdr:spPr>
    </xdr:pic>
    <xdr:clientData/>
  </xdr:twoCellAnchor>
  <xdr:twoCellAnchor editAs="oneCell">
    <xdr:from>
      <xdr:col>1</xdr:col>
      <xdr:colOff>7621</xdr:colOff>
      <xdr:row>104</xdr:row>
      <xdr:rowOff>15240</xdr:rowOff>
    </xdr:from>
    <xdr:to>
      <xdr:col>2</xdr:col>
      <xdr:colOff>838201</xdr:colOff>
      <xdr:row>106</xdr:row>
      <xdr:rowOff>19131</xdr:rowOff>
    </xdr:to>
    <xdr:pic>
      <xdr:nvPicPr>
        <xdr:cNvPr id="10" name="Imagen 9">
          <a:extLst>
            <a:ext uri="{FF2B5EF4-FFF2-40B4-BE49-F238E27FC236}">
              <a16:creationId xmlns:a16="http://schemas.microsoft.com/office/drawing/2014/main" id="{3F106F00-4940-4583-F691-12010F7FFA1C}"/>
            </a:ext>
          </a:extLst>
        </xdr:cNvPr>
        <xdr:cNvPicPr>
          <a:picLocks noChangeAspect="1"/>
        </xdr:cNvPicPr>
      </xdr:nvPicPr>
      <xdr:blipFill>
        <a:blip xmlns:r="http://schemas.openxmlformats.org/officeDocument/2006/relationships" r:embed="rId7"/>
        <a:stretch>
          <a:fillRect/>
        </a:stretch>
      </xdr:blipFill>
      <xdr:spPr>
        <a:xfrm>
          <a:off x="800101" y="18851880"/>
          <a:ext cx="1828800" cy="369651"/>
        </a:xfrm>
        <a:prstGeom prst="rect">
          <a:avLst/>
        </a:prstGeom>
      </xdr:spPr>
    </xdr:pic>
    <xdr:clientData/>
  </xdr:twoCellAnchor>
  <xdr:twoCellAnchor editAs="oneCell">
    <xdr:from>
      <xdr:col>1</xdr:col>
      <xdr:colOff>30480</xdr:colOff>
      <xdr:row>125</xdr:row>
      <xdr:rowOff>99060</xdr:rowOff>
    </xdr:from>
    <xdr:to>
      <xdr:col>3</xdr:col>
      <xdr:colOff>196584</xdr:colOff>
      <xdr:row>127</xdr:row>
      <xdr:rowOff>133300</xdr:rowOff>
    </xdr:to>
    <xdr:pic>
      <xdr:nvPicPr>
        <xdr:cNvPr id="12" name="Imagen 11">
          <a:extLst>
            <a:ext uri="{FF2B5EF4-FFF2-40B4-BE49-F238E27FC236}">
              <a16:creationId xmlns:a16="http://schemas.microsoft.com/office/drawing/2014/main" id="{6BC50292-97FC-EE1B-C0D0-1E4033E1EDD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22960" y="22776180"/>
          <a:ext cx="2085714" cy="400000"/>
        </a:xfrm>
        <a:prstGeom prst="rect">
          <a:avLst/>
        </a:prstGeom>
      </xdr:spPr>
    </xdr:pic>
    <xdr:clientData/>
  </xdr:twoCellAnchor>
  <xdr:twoCellAnchor editAs="oneCell">
    <xdr:from>
      <xdr:col>1</xdr:col>
      <xdr:colOff>0</xdr:colOff>
      <xdr:row>163</xdr:row>
      <xdr:rowOff>0</xdr:rowOff>
    </xdr:from>
    <xdr:to>
      <xdr:col>7</xdr:col>
      <xdr:colOff>763790</xdr:colOff>
      <xdr:row>163</xdr:row>
      <xdr:rowOff>180952</xdr:rowOff>
    </xdr:to>
    <xdr:pic>
      <xdr:nvPicPr>
        <xdr:cNvPr id="9" name="Imagen 8">
          <a:extLst>
            <a:ext uri="{FF2B5EF4-FFF2-40B4-BE49-F238E27FC236}">
              <a16:creationId xmlns:a16="http://schemas.microsoft.com/office/drawing/2014/main" id="{2DCFEBD3-70A1-4CBD-96FA-B4D8B2AB3DC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92480" y="29809440"/>
          <a:ext cx="5952381" cy="180952"/>
        </a:xfrm>
        <a:prstGeom prst="rect">
          <a:avLst/>
        </a:prstGeom>
      </xdr:spPr>
    </xdr:pic>
    <xdr:clientData/>
  </xdr:twoCellAnchor>
  <xdr:twoCellAnchor editAs="oneCell">
    <xdr:from>
      <xdr:col>2</xdr:col>
      <xdr:colOff>335280</xdr:colOff>
      <xdr:row>190</xdr:row>
      <xdr:rowOff>15240</xdr:rowOff>
    </xdr:from>
    <xdr:to>
      <xdr:col>7</xdr:col>
      <xdr:colOff>240527</xdr:colOff>
      <xdr:row>191</xdr:row>
      <xdr:rowOff>13312</xdr:rowOff>
    </xdr:to>
    <xdr:pic>
      <xdr:nvPicPr>
        <xdr:cNvPr id="11" name="Imagen 10">
          <a:extLst>
            <a:ext uri="{FF2B5EF4-FFF2-40B4-BE49-F238E27FC236}">
              <a16:creationId xmlns:a16="http://schemas.microsoft.com/office/drawing/2014/main" id="{6CC8281E-B919-461E-926A-B1AAD69CE117}"/>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31236"/>
        <a:stretch/>
      </xdr:blipFill>
      <xdr:spPr>
        <a:xfrm>
          <a:off x="2125980" y="34792920"/>
          <a:ext cx="4093101" cy="1809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5DFA8-E512-4799-AEEC-34DA73976DCA}">
  <dimension ref="B4:M164"/>
  <sheetViews>
    <sheetView topLeftCell="A149" workbookViewId="0">
      <selection activeCell="O13" sqref="O13"/>
    </sheetView>
  </sheetViews>
  <sheetFormatPr baseColWidth="10" defaultRowHeight="14.4" x14ac:dyDescent="0.3"/>
  <cols>
    <col min="2" max="2" width="18" bestFit="1" customWidth="1"/>
    <col min="4" max="4" width="18" bestFit="1" customWidth="1"/>
  </cols>
  <sheetData>
    <row r="4" spans="4:13" x14ac:dyDescent="0.3">
      <c r="D4" s="41" t="s">
        <v>0</v>
      </c>
      <c r="E4" s="41"/>
    </row>
    <row r="5" spans="4:13" x14ac:dyDescent="0.3">
      <c r="D5" s="2" t="s">
        <v>1</v>
      </c>
      <c r="E5" s="1">
        <v>500</v>
      </c>
    </row>
    <row r="6" spans="4:13" ht="14.4" customHeight="1" x14ac:dyDescent="0.3">
      <c r="D6" s="2" t="s">
        <v>2</v>
      </c>
      <c r="E6" s="4">
        <v>0.7</v>
      </c>
      <c r="I6" s="45" t="s">
        <v>16</v>
      </c>
      <c r="J6" s="45"/>
      <c r="K6" s="45"/>
      <c r="L6" s="45"/>
      <c r="M6" s="45"/>
    </row>
    <row r="7" spans="4:13" x14ac:dyDescent="0.3">
      <c r="D7" s="2" t="s">
        <v>4</v>
      </c>
      <c r="E7" s="4">
        <v>0.3</v>
      </c>
      <c r="I7" s="45"/>
      <c r="J7" s="45"/>
      <c r="K7" s="45"/>
      <c r="L7" s="45"/>
      <c r="M7" s="45"/>
    </row>
    <row r="8" spans="4:13" x14ac:dyDescent="0.3">
      <c r="D8" s="2" t="s">
        <v>3</v>
      </c>
      <c r="E8" s="4">
        <v>0.05</v>
      </c>
      <c r="I8" s="45"/>
      <c r="J8" s="45"/>
      <c r="K8" s="45"/>
      <c r="L8" s="45"/>
      <c r="M8" s="45"/>
    </row>
    <row r="9" spans="4:13" x14ac:dyDescent="0.3">
      <c r="D9" s="3" t="s">
        <v>5</v>
      </c>
      <c r="E9" s="4">
        <v>0.19</v>
      </c>
      <c r="I9" s="45"/>
      <c r="J9" s="45"/>
      <c r="K9" s="45"/>
      <c r="L9" s="45"/>
      <c r="M9" s="45"/>
    </row>
    <row r="10" spans="4:13" x14ac:dyDescent="0.3">
      <c r="D10" s="2" t="s">
        <v>6</v>
      </c>
      <c r="E10" s="5">
        <v>1.5</v>
      </c>
      <c r="I10" s="45"/>
      <c r="J10" s="45"/>
      <c r="K10" s="45"/>
      <c r="L10" s="45"/>
      <c r="M10" s="45"/>
    </row>
    <row r="11" spans="4:13" x14ac:dyDescent="0.3">
      <c r="D11" s="2" t="s">
        <v>9</v>
      </c>
      <c r="E11" s="3">
        <v>0.1</v>
      </c>
      <c r="I11" s="45"/>
      <c r="J11" s="45"/>
      <c r="K11" s="45"/>
      <c r="L11" s="45"/>
      <c r="M11" s="45"/>
    </row>
    <row r="12" spans="4:13" x14ac:dyDescent="0.3">
      <c r="I12" s="45"/>
      <c r="J12" s="45"/>
      <c r="K12" s="45"/>
      <c r="L12" s="45"/>
      <c r="M12" s="45"/>
    </row>
    <row r="13" spans="4:13" x14ac:dyDescent="0.3">
      <c r="I13" s="45"/>
      <c r="J13" s="45"/>
      <c r="K13" s="45"/>
      <c r="L13" s="45"/>
      <c r="M13" s="45"/>
    </row>
    <row r="14" spans="4:13" x14ac:dyDescent="0.3">
      <c r="I14" s="45"/>
      <c r="J14" s="45"/>
      <c r="K14" s="45"/>
      <c r="L14" s="45"/>
      <c r="M14" s="45"/>
    </row>
    <row r="15" spans="4:13" x14ac:dyDescent="0.3">
      <c r="I15" s="45"/>
      <c r="J15" s="45"/>
      <c r="K15" s="45"/>
      <c r="L15" s="45"/>
      <c r="M15" s="45"/>
    </row>
    <row r="27" spans="2:2" x14ac:dyDescent="0.3">
      <c r="B27" t="s">
        <v>7</v>
      </c>
    </row>
    <row r="28" spans="2:2" x14ac:dyDescent="0.3">
      <c r="B28" t="s">
        <v>8</v>
      </c>
    </row>
    <row r="36" spans="2:3" x14ac:dyDescent="0.3">
      <c r="B36" t="s">
        <v>11</v>
      </c>
    </row>
    <row r="38" spans="2:3" x14ac:dyDescent="0.3">
      <c r="B38" s="6" t="s">
        <v>10</v>
      </c>
      <c r="C38" s="7">
        <f>E6*E8*(1-E9)+E7*E11</f>
        <v>5.8349999999999999E-2</v>
      </c>
    </row>
    <row r="46" spans="2:3" x14ac:dyDescent="0.3">
      <c r="B46" s="41" t="s">
        <v>12</v>
      </c>
      <c r="C46" s="41"/>
    </row>
    <row r="47" spans="2:3" x14ac:dyDescent="0.3">
      <c r="B47" s="1" t="s">
        <v>13</v>
      </c>
      <c r="C47" s="1">
        <v>0.8</v>
      </c>
    </row>
    <row r="48" spans="2:3" x14ac:dyDescent="0.3">
      <c r="B48" s="1" t="s">
        <v>14</v>
      </c>
      <c r="C48" s="1">
        <v>0.2</v>
      </c>
    </row>
    <row r="51" spans="2:3" x14ac:dyDescent="0.3">
      <c r="B51" t="s">
        <v>15</v>
      </c>
    </row>
    <row r="59" spans="2:3" x14ac:dyDescent="0.3">
      <c r="B59" s="6" t="s">
        <v>10</v>
      </c>
      <c r="C59" s="8">
        <f>C47*E8*(1-E9)+C48*E11</f>
        <v>5.2400000000000009E-2</v>
      </c>
    </row>
    <row r="70" spans="2:7" x14ac:dyDescent="0.3">
      <c r="B70" s="1" t="s">
        <v>1</v>
      </c>
      <c r="C70" s="1">
        <v>500</v>
      </c>
    </row>
    <row r="72" spans="2:7" x14ac:dyDescent="0.3">
      <c r="B72" t="s">
        <v>23</v>
      </c>
    </row>
    <row r="75" spans="2:7" x14ac:dyDescent="0.3">
      <c r="B75" s="1" t="s">
        <v>17</v>
      </c>
      <c r="C75" s="1">
        <v>1</v>
      </c>
      <c r="D75" s="1">
        <v>2</v>
      </c>
      <c r="E75" s="1">
        <v>3</v>
      </c>
      <c r="F75" s="1">
        <v>4</v>
      </c>
      <c r="G75" s="1">
        <v>5</v>
      </c>
    </row>
    <row r="76" spans="2:7" x14ac:dyDescent="0.3">
      <c r="B76" s="41"/>
      <c r="C76" s="41"/>
      <c r="D76" s="41"/>
      <c r="E76" s="41"/>
      <c r="F76" s="41"/>
      <c r="G76" s="41"/>
    </row>
    <row r="77" spans="2:7" x14ac:dyDescent="0.3">
      <c r="B77" s="1" t="s">
        <v>18</v>
      </c>
      <c r="C77" s="1">
        <v>45</v>
      </c>
      <c r="D77" s="1">
        <f>C77*1.1</f>
        <v>49.500000000000007</v>
      </c>
      <c r="E77" s="1">
        <f t="shared" ref="E77:G77" si="0">D77*1.1</f>
        <v>54.45000000000001</v>
      </c>
      <c r="F77" s="1">
        <f t="shared" si="0"/>
        <v>59.895000000000017</v>
      </c>
      <c r="G77" s="1">
        <f t="shared" si="0"/>
        <v>65.884500000000031</v>
      </c>
    </row>
    <row r="78" spans="2:7" x14ac:dyDescent="0.3">
      <c r="B78" s="1" t="s">
        <v>19</v>
      </c>
      <c r="C78" s="1">
        <v>20</v>
      </c>
      <c r="D78" s="1">
        <v>20</v>
      </c>
      <c r="E78" s="1">
        <v>20</v>
      </c>
      <c r="F78" s="1">
        <v>20</v>
      </c>
      <c r="G78" s="1">
        <v>20</v>
      </c>
    </row>
    <row r="79" spans="2:7" x14ac:dyDescent="0.3">
      <c r="B79" s="9" t="s">
        <v>20</v>
      </c>
      <c r="C79" s="9">
        <f>C77-C78</f>
        <v>25</v>
      </c>
      <c r="D79" s="9">
        <f t="shared" ref="D79:G79" si="1">D77-D78</f>
        <v>29.500000000000007</v>
      </c>
      <c r="E79" s="9">
        <f t="shared" si="1"/>
        <v>34.45000000000001</v>
      </c>
      <c r="F79" s="9">
        <f t="shared" si="1"/>
        <v>39.895000000000017</v>
      </c>
      <c r="G79" s="9">
        <f t="shared" si="1"/>
        <v>45.884500000000031</v>
      </c>
    </row>
    <row r="80" spans="2:7" x14ac:dyDescent="0.3">
      <c r="B80" s="1" t="s">
        <v>21</v>
      </c>
      <c r="C80" s="1">
        <f>$E$9*C79</f>
        <v>4.75</v>
      </c>
      <c r="D80" s="1">
        <f t="shared" ref="D80:G80" si="2">$E$9*D79</f>
        <v>5.6050000000000013</v>
      </c>
      <c r="E80" s="1">
        <f t="shared" si="2"/>
        <v>6.5455000000000023</v>
      </c>
      <c r="F80" s="1">
        <f t="shared" si="2"/>
        <v>7.5800500000000035</v>
      </c>
      <c r="G80" s="1">
        <f t="shared" si="2"/>
        <v>8.7180550000000068</v>
      </c>
    </row>
    <row r="81" spans="2:8" x14ac:dyDescent="0.3">
      <c r="B81" s="10" t="s">
        <v>22</v>
      </c>
      <c r="C81" s="10">
        <f>C79-C80</f>
        <v>20.25</v>
      </c>
      <c r="D81" s="10">
        <f t="shared" ref="D81:G81" si="3">D79-D80</f>
        <v>23.895000000000007</v>
      </c>
      <c r="E81" s="10">
        <f t="shared" si="3"/>
        <v>27.904500000000006</v>
      </c>
      <c r="F81" s="10">
        <f t="shared" si="3"/>
        <v>32.31495000000001</v>
      </c>
      <c r="G81" s="10">
        <f t="shared" si="3"/>
        <v>37.166445000000024</v>
      </c>
    </row>
    <row r="83" spans="2:8" x14ac:dyDescent="0.3">
      <c r="B83" t="s">
        <v>24</v>
      </c>
    </row>
    <row r="91" spans="2:8" ht="14.4" customHeight="1" x14ac:dyDescent="0.3">
      <c r="B91" s="42" t="s">
        <v>25</v>
      </c>
      <c r="C91" s="42"/>
      <c r="D91" s="42"/>
      <c r="E91" s="42"/>
      <c r="F91" s="42"/>
      <c r="G91" s="42"/>
      <c r="H91" s="42"/>
    </row>
    <row r="92" spans="2:8" x14ac:dyDescent="0.3">
      <c r="B92" s="42"/>
      <c r="C92" s="42"/>
      <c r="D92" s="42"/>
      <c r="E92" s="42"/>
      <c r="F92" s="42"/>
      <c r="G92" s="42"/>
      <c r="H92" s="42"/>
    </row>
    <row r="94" spans="2:8" x14ac:dyDescent="0.3">
      <c r="B94" t="s">
        <v>26</v>
      </c>
    </row>
    <row r="96" spans="2:8" x14ac:dyDescent="0.3">
      <c r="B96" s="6" t="s">
        <v>27</v>
      </c>
      <c r="C96" s="11">
        <f>NPV(C38,C81:G81)-C70</f>
        <v>-382.24814515800745</v>
      </c>
    </row>
    <row r="98" spans="2:8" ht="14.4" customHeight="1" x14ac:dyDescent="0.3">
      <c r="B98" s="40" t="s">
        <v>28</v>
      </c>
      <c r="C98" s="40"/>
      <c r="D98" s="40"/>
      <c r="E98" s="40"/>
      <c r="F98" s="40"/>
      <c r="G98" s="40"/>
      <c r="H98" s="40"/>
    </row>
    <row r="99" spans="2:8" x14ac:dyDescent="0.3">
      <c r="B99" s="40"/>
      <c r="C99" s="40"/>
      <c r="D99" s="40"/>
      <c r="E99" s="40"/>
      <c r="F99" s="40"/>
      <c r="G99" s="40"/>
      <c r="H99" s="40"/>
    </row>
    <row r="100" spans="2:8" x14ac:dyDescent="0.3">
      <c r="B100" s="40"/>
      <c r="C100" s="40"/>
      <c r="D100" s="40"/>
      <c r="E100" s="40"/>
      <c r="F100" s="40"/>
      <c r="G100" s="40"/>
      <c r="H100" s="40"/>
    </row>
    <row r="101" spans="2:8" x14ac:dyDescent="0.3">
      <c r="B101" s="40"/>
      <c r="C101" s="40"/>
      <c r="D101" s="40"/>
      <c r="E101" s="40"/>
      <c r="F101" s="40"/>
      <c r="G101" s="40"/>
      <c r="H101" s="40"/>
    </row>
    <row r="102" spans="2:8" x14ac:dyDescent="0.3">
      <c r="B102" s="40"/>
      <c r="C102" s="40"/>
      <c r="D102" s="40"/>
      <c r="E102" s="40"/>
      <c r="F102" s="40"/>
      <c r="G102" s="40"/>
      <c r="H102" s="40"/>
    </row>
    <row r="103" spans="2:8" x14ac:dyDescent="0.3">
      <c r="B103" s="40"/>
      <c r="C103" s="40"/>
      <c r="D103" s="40"/>
      <c r="E103" s="40"/>
      <c r="F103" s="40"/>
      <c r="G103" s="40"/>
      <c r="H103" s="40"/>
    </row>
    <row r="104" spans="2:8" x14ac:dyDescent="0.3">
      <c r="B104" s="13" t="s">
        <v>29</v>
      </c>
    </row>
    <row r="124" spans="2:9" ht="14.4" customHeight="1" x14ac:dyDescent="0.3">
      <c r="B124" s="43" t="s">
        <v>30</v>
      </c>
      <c r="C124" s="43"/>
      <c r="D124" s="43"/>
      <c r="E124" s="43"/>
      <c r="F124" s="43"/>
      <c r="G124" s="43"/>
      <c r="H124" s="43"/>
      <c r="I124" s="43"/>
    </row>
    <row r="125" spans="2:9" x14ac:dyDescent="0.3">
      <c r="B125" s="43"/>
      <c r="C125" s="43"/>
      <c r="D125" s="43"/>
      <c r="E125" s="43"/>
      <c r="F125" s="43"/>
      <c r="G125" s="43"/>
      <c r="H125" s="43"/>
      <c r="I125" s="43"/>
    </row>
    <row r="126" spans="2:9" x14ac:dyDescent="0.3">
      <c r="B126" s="43"/>
      <c r="C126" s="43"/>
      <c r="D126" s="43"/>
      <c r="E126" s="43"/>
      <c r="F126" s="43"/>
      <c r="G126" s="43"/>
      <c r="H126" s="43"/>
      <c r="I126" s="43"/>
    </row>
    <row r="127" spans="2:9" x14ac:dyDescent="0.3">
      <c r="B127" s="43"/>
      <c r="C127" s="43"/>
      <c r="D127" s="43"/>
      <c r="E127" s="43"/>
      <c r="F127" s="43"/>
      <c r="G127" s="43"/>
      <c r="H127" s="43"/>
      <c r="I127" s="43"/>
    </row>
    <row r="128" spans="2:9" x14ac:dyDescent="0.3">
      <c r="B128" s="43"/>
      <c r="C128" s="43"/>
      <c r="D128" s="43"/>
      <c r="E128" s="43"/>
      <c r="F128" s="43"/>
      <c r="G128" s="43"/>
      <c r="H128" s="43"/>
      <c r="I128" s="43"/>
    </row>
    <row r="129" spans="2:9" x14ac:dyDescent="0.3">
      <c r="B129" s="43"/>
      <c r="C129" s="43"/>
      <c r="D129" s="43"/>
      <c r="E129" s="43"/>
      <c r="F129" s="43"/>
      <c r="G129" s="43"/>
      <c r="H129" s="43"/>
      <c r="I129" s="43"/>
    </row>
    <row r="130" spans="2:9" x14ac:dyDescent="0.3">
      <c r="B130" s="14"/>
      <c r="C130" s="14"/>
      <c r="D130" s="14"/>
      <c r="E130" s="14"/>
      <c r="F130" s="14"/>
      <c r="G130" s="14"/>
      <c r="H130" s="14"/>
      <c r="I130" s="14"/>
    </row>
    <row r="131" spans="2:9" ht="28.8" customHeight="1" x14ac:dyDescent="0.3">
      <c r="B131" s="44" t="s">
        <v>31</v>
      </c>
      <c r="C131" s="44"/>
      <c r="D131" s="14"/>
      <c r="E131" s="14"/>
      <c r="F131" s="14"/>
      <c r="G131" s="14"/>
      <c r="H131" s="14"/>
      <c r="I131" s="14"/>
    </row>
    <row r="132" spans="2:9" ht="28.8" customHeight="1" x14ac:dyDescent="0.3">
      <c r="B132" s="15"/>
      <c r="C132" s="15"/>
      <c r="D132" s="14"/>
      <c r="E132" s="14"/>
      <c r="F132" s="14"/>
      <c r="G132" s="14"/>
      <c r="H132" s="14"/>
      <c r="I132" s="14"/>
    </row>
    <row r="133" spans="2:9" x14ac:dyDescent="0.3">
      <c r="B133" s="46" t="s">
        <v>0</v>
      </c>
      <c r="C133" s="46"/>
      <c r="D133" s="14"/>
      <c r="E133" s="14"/>
      <c r="F133" s="14"/>
      <c r="G133" s="14"/>
      <c r="H133" s="14"/>
      <c r="I133" s="14"/>
    </row>
    <row r="134" spans="2:9" x14ac:dyDescent="0.3">
      <c r="B134" s="2" t="s">
        <v>32</v>
      </c>
      <c r="C134" s="4">
        <v>0.08</v>
      </c>
    </row>
    <row r="135" spans="2:9" x14ac:dyDescent="0.3">
      <c r="B135" s="2" t="s">
        <v>18</v>
      </c>
      <c r="C135" s="1">
        <v>20</v>
      </c>
    </row>
    <row r="136" spans="2:9" x14ac:dyDescent="0.3">
      <c r="B136" s="2" t="s">
        <v>33</v>
      </c>
      <c r="C136" s="1">
        <v>8</v>
      </c>
    </row>
    <row r="137" spans="2:9" x14ac:dyDescent="0.3">
      <c r="B137" s="2" t="s">
        <v>1</v>
      </c>
      <c r="C137" s="1">
        <v>150</v>
      </c>
    </row>
    <row r="138" spans="2:9" x14ac:dyDescent="0.3">
      <c r="B138" s="2" t="s">
        <v>34</v>
      </c>
      <c r="C138" s="4">
        <v>0.21</v>
      </c>
    </row>
    <row r="140" spans="2:9" x14ac:dyDescent="0.3">
      <c r="B140" t="s">
        <v>35</v>
      </c>
    </row>
    <row r="142" spans="2:9" x14ac:dyDescent="0.3">
      <c r="B142" s="1" t="s">
        <v>17</v>
      </c>
      <c r="C142" s="1">
        <v>1</v>
      </c>
      <c r="D142" s="1">
        <v>2</v>
      </c>
      <c r="E142" s="1">
        <v>3</v>
      </c>
      <c r="F142" s="1">
        <v>4</v>
      </c>
      <c r="G142" s="1">
        <v>5</v>
      </c>
    </row>
    <row r="143" spans="2:9" x14ac:dyDescent="0.3">
      <c r="B143" s="41"/>
      <c r="C143" s="41"/>
      <c r="D143" s="41"/>
      <c r="E143" s="41"/>
      <c r="F143" s="41"/>
      <c r="G143" s="41"/>
    </row>
    <row r="144" spans="2:9" x14ac:dyDescent="0.3">
      <c r="B144" s="1" t="s">
        <v>18</v>
      </c>
      <c r="C144" s="1">
        <v>20</v>
      </c>
      <c r="D144" s="1">
        <f>C144*(1+$C$134)</f>
        <v>21.6</v>
      </c>
      <c r="E144" s="1">
        <f t="shared" ref="E144:F144" si="4">D144*(1+$C$134)</f>
        <v>23.328000000000003</v>
      </c>
      <c r="F144" s="1">
        <f t="shared" si="4"/>
        <v>25.194240000000004</v>
      </c>
      <c r="G144" s="1">
        <f>F144*(1+$C$134)</f>
        <v>27.209779200000007</v>
      </c>
    </row>
    <row r="145" spans="2:9" x14ac:dyDescent="0.3">
      <c r="B145" s="1" t="s">
        <v>19</v>
      </c>
      <c r="C145" s="1">
        <v>8</v>
      </c>
      <c r="D145" s="1">
        <v>8</v>
      </c>
      <c r="E145" s="1">
        <v>8</v>
      </c>
      <c r="F145" s="1">
        <v>8</v>
      </c>
      <c r="G145" s="1">
        <v>8</v>
      </c>
    </row>
    <row r="146" spans="2:9" x14ac:dyDescent="0.3">
      <c r="B146" s="9" t="s">
        <v>20</v>
      </c>
      <c r="C146" s="9">
        <f>C144-C145</f>
        <v>12</v>
      </c>
      <c r="D146" s="9">
        <f t="shared" ref="D146" si="5">D144-D145</f>
        <v>13.600000000000001</v>
      </c>
      <c r="E146" s="9">
        <f t="shared" ref="E146" si="6">E144-E145</f>
        <v>15.328000000000003</v>
      </c>
      <c r="F146" s="9">
        <f t="shared" ref="F146" si="7">F144-F145</f>
        <v>17.194240000000004</v>
      </c>
      <c r="G146" s="9">
        <f t="shared" ref="G146" si="8">G144-G145</f>
        <v>19.209779200000007</v>
      </c>
    </row>
    <row r="147" spans="2:9" x14ac:dyDescent="0.3">
      <c r="B147" s="1" t="s">
        <v>21</v>
      </c>
      <c r="C147" s="16">
        <f>C146*$C$138</f>
        <v>2.52</v>
      </c>
      <c r="D147" s="16">
        <f t="shared" ref="D147:G147" si="9">D146*$C$138</f>
        <v>2.8560000000000003</v>
      </c>
      <c r="E147" s="16">
        <f t="shared" si="9"/>
        <v>3.2188800000000004</v>
      </c>
      <c r="F147" s="16">
        <f t="shared" si="9"/>
        <v>3.6107904000000008</v>
      </c>
      <c r="G147" s="16">
        <f t="shared" si="9"/>
        <v>4.0340536320000009</v>
      </c>
    </row>
    <row r="148" spans="2:9" x14ac:dyDescent="0.3">
      <c r="B148" s="10" t="s">
        <v>22</v>
      </c>
      <c r="C148" s="10">
        <f>C146-C147</f>
        <v>9.48</v>
      </c>
      <c r="D148" s="10">
        <f t="shared" ref="D148" si="10">D146-D147</f>
        <v>10.744000000000002</v>
      </c>
      <c r="E148" s="10">
        <f t="shared" ref="E148" si="11">E146-E147</f>
        <v>12.109120000000003</v>
      </c>
      <c r="F148" s="10">
        <f t="shared" ref="F148" si="12">F146-F147</f>
        <v>13.583449600000003</v>
      </c>
      <c r="G148" s="10">
        <f t="shared" ref="G148" si="13">G146-G147</f>
        <v>15.175725568000006</v>
      </c>
    </row>
    <row r="151" spans="2:9" x14ac:dyDescent="0.3">
      <c r="B151" s="1" t="s">
        <v>10</v>
      </c>
      <c r="C151" s="4">
        <v>0.12</v>
      </c>
    </row>
    <row r="153" spans="2:9" x14ac:dyDescent="0.3">
      <c r="B153" t="s">
        <v>36</v>
      </c>
    </row>
    <row r="155" spans="2:9" x14ac:dyDescent="0.3">
      <c r="B155" s="6" t="s">
        <v>37</v>
      </c>
      <c r="C155" s="17">
        <f>NPV(C151,C148:G148)-C137</f>
        <v>-107.10798880070432</v>
      </c>
    </row>
    <row r="157" spans="2:9" ht="14.4" customHeight="1" x14ac:dyDescent="0.3">
      <c r="B157" s="40" t="s">
        <v>55</v>
      </c>
      <c r="C157" s="40"/>
      <c r="D157" s="40"/>
      <c r="E157" s="40"/>
      <c r="F157" s="40"/>
      <c r="G157" s="40"/>
      <c r="H157" s="40"/>
      <c r="I157" s="40"/>
    </row>
    <row r="158" spans="2:9" x14ac:dyDescent="0.3">
      <c r="B158" s="40"/>
      <c r="C158" s="40"/>
      <c r="D158" s="40"/>
      <c r="E158" s="40"/>
      <c r="F158" s="40"/>
      <c r="G158" s="40"/>
      <c r="H158" s="40"/>
      <c r="I158" s="40"/>
    </row>
    <row r="159" spans="2:9" x14ac:dyDescent="0.3">
      <c r="B159" s="40"/>
      <c r="C159" s="40"/>
      <c r="D159" s="40"/>
      <c r="E159" s="40"/>
      <c r="F159" s="40"/>
      <c r="G159" s="40"/>
      <c r="H159" s="40"/>
      <c r="I159" s="40"/>
    </row>
    <row r="160" spans="2:9" x14ac:dyDescent="0.3">
      <c r="B160" s="40"/>
      <c r="C160" s="40"/>
      <c r="D160" s="40"/>
      <c r="E160" s="40"/>
      <c r="F160" s="40"/>
      <c r="G160" s="40"/>
      <c r="H160" s="40"/>
      <c r="I160" s="40"/>
    </row>
    <row r="161" spans="2:9" x14ac:dyDescent="0.3">
      <c r="B161" s="40"/>
      <c r="C161" s="40"/>
      <c r="D161" s="40"/>
      <c r="E161" s="40"/>
      <c r="F161" s="40"/>
      <c r="G161" s="40"/>
      <c r="H161" s="40"/>
      <c r="I161" s="40"/>
    </row>
    <row r="162" spans="2:9" x14ac:dyDescent="0.3">
      <c r="B162" s="40"/>
      <c r="C162" s="40"/>
      <c r="D162" s="40"/>
      <c r="E162" s="40"/>
      <c r="F162" s="40"/>
      <c r="G162" s="40"/>
      <c r="H162" s="40"/>
      <c r="I162" s="40"/>
    </row>
    <row r="163" spans="2:9" x14ac:dyDescent="0.3">
      <c r="B163" s="12"/>
      <c r="C163" s="12"/>
      <c r="D163" s="12"/>
      <c r="E163" s="12"/>
      <c r="F163" s="12"/>
      <c r="G163" s="12"/>
      <c r="H163" s="12"/>
      <c r="I163" s="12"/>
    </row>
    <row r="164" spans="2:9" x14ac:dyDescent="0.3">
      <c r="B164" s="13" t="s">
        <v>29</v>
      </c>
    </row>
  </sheetData>
  <mergeCells count="11">
    <mergeCell ref="D4:E4"/>
    <mergeCell ref="B46:C46"/>
    <mergeCell ref="I6:M15"/>
    <mergeCell ref="B76:G76"/>
    <mergeCell ref="B133:C133"/>
    <mergeCell ref="B157:I162"/>
    <mergeCell ref="B143:G143"/>
    <mergeCell ref="B91:H92"/>
    <mergeCell ref="B98:H103"/>
    <mergeCell ref="B124:I129"/>
    <mergeCell ref="B131:C1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9F87-E090-4375-B18D-528C1337625D}">
  <dimension ref="B16:J229"/>
  <sheetViews>
    <sheetView topLeftCell="A166" workbookViewId="0">
      <selection activeCell="I222" sqref="I222"/>
    </sheetView>
  </sheetViews>
  <sheetFormatPr baseColWidth="10" defaultRowHeight="14.4" x14ac:dyDescent="0.3"/>
  <cols>
    <col min="2" max="2" width="23.33203125" customWidth="1"/>
    <col min="3" max="3" width="13.6640625" customWidth="1"/>
  </cols>
  <sheetData>
    <row r="16" spans="2:2" x14ac:dyDescent="0.3">
      <c r="B16" s="20" t="s">
        <v>48</v>
      </c>
    </row>
    <row r="18" spans="2:8" x14ac:dyDescent="0.3">
      <c r="B18" s="20" t="s">
        <v>2</v>
      </c>
    </row>
    <row r="20" spans="2:8" ht="14.4" customHeight="1" x14ac:dyDescent="0.3">
      <c r="B20" s="47" t="s">
        <v>42</v>
      </c>
      <c r="C20" s="47"/>
      <c r="D20" s="47"/>
      <c r="E20" s="47"/>
      <c r="F20" s="47"/>
      <c r="G20" s="47"/>
      <c r="H20" s="47"/>
    </row>
    <row r="21" spans="2:8" x14ac:dyDescent="0.3">
      <c r="B21" s="47"/>
      <c r="C21" s="47"/>
      <c r="D21" s="47"/>
      <c r="E21" s="47"/>
      <c r="F21" s="47"/>
      <c r="G21" s="47"/>
      <c r="H21" s="47"/>
    </row>
    <row r="22" spans="2:8" x14ac:dyDescent="0.3">
      <c r="B22" s="47"/>
      <c r="C22" s="47"/>
      <c r="D22" s="47"/>
      <c r="E22" s="47"/>
      <c r="F22" s="47"/>
      <c r="G22" s="47"/>
      <c r="H22" s="47"/>
    </row>
    <row r="23" spans="2:8" x14ac:dyDescent="0.3">
      <c r="B23" s="47"/>
      <c r="C23" s="47"/>
      <c r="D23" s="47"/>
      <c r="E23" s="47"/>
      <c r="F23" s="47"/>
      <c r="G23" s="47"/>
      <c r="H23" s="47"/>
    </row>
    <row r="24" spans="2:8" x14ac:dyDescent="0.3">
      <c r="B24" s="47"/>
      <c r="C24" s="47"/>
      <c r="D24" s="47"/>
      <c r="E24" s="47"/>
      <c r="F24" s="47"/>
      <c r="G24" s="47"/>
      <c r="H24" s="47"/>
    </row>
    <row r="25" spans="2:8" x14ac:dyDescent="0.3">
      <c r="B25" s="47"/>
      <c r="C25" s="47"/>
      <c r="D25" s="47"/>
      <c r="E25" s="47"/>
      <c r="F25" s="47"/>
      <c r="G25" s="47"/>
      <c r="H25" s="47"/>
    </row>
    <row r="26" spans="2:8" x14ac:dyDescent="0.3">
      <c r="B26" s="47"/>
      <c r="C26" s="47"/>
      <c r="D26" s="47"/>
      <c r="E26" s="47"/>
      <c r="F26" s="47"/>
      <c r="G26" s="47"/>
      <c r="H26" s="47"/>
    </row>
    <row r="27" spans="2:8" x14ac:dyDescent="0.3">
      <c r="B27" s="47"/>
      <c r="C27" s="47"/>
      <c r="D27" s="47"/>
      <c r="E27" s="47"/>
      <c r="F27" s="47"/>
      <c r="G27" s="47"/>
      <c r="H27" s="47"/>
    </row>
    <row r="29" spans="2:8" x14ac:dyDescent="0.3">
      <c r="B29" s="20" t="s">
        <v>44</v>
      </c>
    </row>
    <row r="31" spans="2:8" x14ac:dyDescent="0.3">
      <c r="B31" s="40" t="s">
        <v>43</v>
      </c>
      <c r="C31" s="40"/>
      <c r="D31" s="40"/>
      <c r="E31" s="40"/>
      <c r="F31" s="40"/>
      <c r="G31" s="40"/>
      <c r="H31" s="40"/>
    </row>
    <row r="32" spans="2:8" x14ac:dyDescent="0.3">
      <c r="B32" s="40"/>
      <c r="C32" s="40"/>
      <c r="D32" s="40"/>
      <c r="E32" s="40"/>
      <c r="F32" s="40"/>
      <c r="G32" s="40"/>
      <c r="H32" s="40"/>
    </row>
    <row r="33" spans="2:8" x14ac:dyDescent="0.3">
      <c r="B33" s="40"/>
      <c r="C33" s="40"/>
      <c r="D33" s="40"/>
      <c r="E33" s="40"/>
      <c r="F33" s="40"/>
      <c r="G33" s="40"/>
      <c r="H33" s="40"/>
    </row>
    <row r="34" spans="2:8" x14ac:dyDescent="0.3">
      <c r="B34" s="40"/>
      <c r="C34" s="40"/>
      <c r="D34" s="40"/>
      <c r="E34" s="40"/>
      <c r="F34" s="40"/>
      <c r="G34" s="40"/>
      <c r="H34" s="40"/>
    </row>
    <row r="35" spans="2:8" x14ac:dyDescent="0.3">
      <c r="B35" s="40"/>
      <c r="C35" s="40"/>
      <c r="D35" s="40"/>
      <c r="E35" s="40"/>
      <c r="F35" s="40"/>
      <c r="G35" s="40"/>
      <c r="H35" s="40"/>
    </row>
    <row r="36" spans="2:8" x14ac:dyDescent="0.3">
      <c r="B36" s="40"/>
      <c r="C36" s="40"/>
      <c r="D36" s="40"/>
      <c r="E36" s="40"/>
      <c r="F36" s="40"/>
      <c r="G36" s="40"/>
      <c r="H36" s="40"/>
    </row>
    <row r="37" spans="2:8" x14ac:dyDescent="0.3">
      <c r="B37" s="40"/>
      <c r="C37" s="40"/>
      <c r="D37" s="40"/>
      <c r="E37" s="40"/>
      <c r="F37" s="40"/>
      <c r="G37" s="40"/>
      <c r="H37" s="40"/>
    </row>
    <row r="38" spans="2:8" x14ac:dyDescent="0.3">
      <c r="B38" s="40"/>
      <c r="C38" s="40"/>
      <c r="D38" s="40"/>
      <c r="E38" s="40"/>
      <c r="F38" s="40"/>
      <c r="G38" s="40"/>
      <c r="H38" s="40"/>
    </row>
    <row r="40" spans="2:8" x14ac:dyDescent="0.3">
      <c r="B40" s="20" t="s">
        <v>45</v>
      </c>
    </row>
    <row r="42" spans="2:8" ht="14.4" customHeight="1" x14ac:dyDescent="0.3">
      <c r="B42" s="40" t="s">
        <v>46</v>
      </c>
      <c r="C42" s="40"/>
      <c r="D42" s="40"/>
      <c r="E42" s="40"/>
      <c r="F42" s="40"/>
      <c r="G42" s="40"/>
      <c r="H42" s="40"/>
    </row>
    <row r="43" spans="2:8" x14ac:dyDescent="0.3">
      <c r="B43" s="40"/>
      <c r="C43" s="40"/>
      <c r="D43" s="40"/>
      <c r="E43" s="40"/>
      <c r="F43" s="40"/>
      <c r="G43" s="40"/>
      <c r="H43" s="40"/>
    </row>
    <row r="44" spans="2:8" x14ac:dyDescent="0.3">
      <c r="B44" s="40"/>
      <c r="C44" s="40"/>
      <c r="D44" s="40"/>
      <c r="E44" s="40"/>
      <c r="F44" s="40"/>
      <c r="G44" s="40"/>
      <c r="H44" s="40"/>
    </row>
    <row r="45" spans="2:8" x14ac:dyDescent="0.3">
      <c r="B45" s="40"/>
      <c r="C45" s="40"/>
      <c r="D45" s="40"/>
      <c r="E45" s="40"/>
      <c r="F45" s="40"/>
      <c r="G45" s="40"/>
      <c r="H45" s="40"/>
    </row>
    <row r="46" spans="2:8" x14ac:dyDescent="0.3">
      <c r="B46" s="40"/>
      <c r="C46" s="40"/>
      <c r="D46" s="40"/>
      <c r="E46" s="40"/>
      <c r="F46" s="40"/>
      <c r="G46" s="40"/>
      <c r="H46" s="40"/>
    </row>
    <row r="47" spans="2:8" x14ac:dyDescent="0.3">
      <c r="B47" s="40"/>
      <c r="C47" s="40"/>
      <c r="D47" s="40"/>
      <c r="E47" s="40"/>
      <c r="F47" s="40"/>
      <c r="G47" s="40"/>
      <c r="H47" s="40"/>
    </row>
    <row r="48" spans="2:8" x14ac:dyDescent="0.3">
      <c r="B48" s="40"/>
      <c r="C48" s="40"/>
      <c r="D48" s="40"/>
      <c r="E48" s="40"/>
      <c r="F48" s="40"/>
      <c r="G48" s="40"/>
      <c r="H48" s="40"/>
    </row>
    <row r="49" spans="2:8" x14ac:dyDescent="0.3">
      <c r="B49" s="12"/>
      <c r="C49" s="12"/>
      <c r="D49" s="12"/>
      <c r="E49" s="12"/>
      <c r="F49" s="12"/>
      <c r="G49" s="12"/>
      <c r="H49" s="12"/>
    </row>
    <row r="50" spans="2:8" x14ac:dyDescent="0.3">
      <c r="B50" s="20" t="s">
        <v>47</v>
      </c>
    </row>
    <row r="52" spans="2:8" x14ac:dyDescent="0.3">
      <c r="B52" s="40" t="s">
        <v>49</v>
      </c>
      <c r="C52" s="40"/>
      <c r="D52" s="40"/>
      <c r="E52" s="40"/>
      <c r="F52" s="40"/>
      <c r="G52" s="40"/>
      <c r="H52" s="40"/>
    </row>
    <row r="53" spans="2:8" x14ac:dyDescent="0.3">
      <c r="B53" s="40"/>
      <c r="C53" s="40"/>
      <c r="D53" s="40"/>
      <c r="E53" s="40"/>
      <c r="F53" s="40"/>
      <c r="G53" s="40"/>
      <c r="H53" s="40"/>
    </row>
    <row r="54" spans="2:8" x14ac:dyDescent="0.3">
      <c r="B54" s="40"/>
      <c r="C54" s="40"/>
      <c r="D54" s="40"/>
      <c r="E54" s="40"/>
      <c r="F54" s="40"/>
      <c r="G54" s="40"/>
      <c r="H54" s="40"/>
    </row>
    <row r="55" spans="2:8" x14ac:dyDescent="0.3">
      <c r="B55" s="40"/>
      <c r="C55" s="40"/>
      <c r="D55" s="40"/>
      <c r="E55" s="40"/>
      <c r="F55" s="40"/>
      <c r="G55" s="40"/>
      <c r="H55" s="40"/>
    </row>
    <row r="56" spans="2:8" x14ac:dyDescent="0.3">
      <c r="B56" s="40"/>
      <c r="C56" s="40"/>
      <c r="D56" s="40"/>
      <c r="E56" s="40"/>
      <c r="F56" s="40"/>
      <c r="G56" s="40"/>
      <c r="H56" s="40"/>
    </row>
    <row r="57" spans="2:8" x14ac:dyDescent="0.3">
      <c r="B57" s="40"/>
      <c r="C57" s="40"/>
      <c r="D57" s="40"/>
      <c r="E57" s="40"/>
      <c r="F57" s="40"/>
      <c r="G57" s="40"/>
      <c r="H57" s="40"/>
    </row>
    <row r="58" spans="2:8" x14ac:dyDescent="0.3">
      <c r="B58" s="40"/>
      <c r="C58" s="40"/>
      <c r="D58" s="40"/>
      <c r="E58" s="40"/>
      <c r="F58" s="40"/>
      <c r="G58" s="40"/>
      <c r="H58" s="40"/>
    </row>
    <row r="66" spans="3:4" x14ac:dyDescent="0.3">
      <c r="C66" s="41" t="s">
        <v>0</v>
      </c>
      <c r="D66" s="41"/>
    </row>
    <row r="67" spans="3:4" x14ac:dyDescent="0.3">
      <c r="C67" s="23" t="s">
        <v>50</v>
      </c>
      <c r="D67" s="1">
        <v>0.28000000000000003</v>
      </c>
    </row>
    <row r="68" spans="3:4" x14ac:dyDescent="0.3">
      <c r="C68" s="1" t="s">
        <v>51</v>
      </c>
      <c r="D68" s="1">
        <v>0.32</v>
      </c>
    </row>
    <row r="69" spans="3:4" x14ac:dyDescent="0.3">
      <c r="C69" s="1" t="s">
        <v>52</v>
      </c>
      <c r="D69" s="1">
        <v>0.24</v>
      </c>
    </row>
    <row r="70" spans="3:4" x14ac:dyDescent="0.3">
      <c r="C70" s="23" t="s">
        <v>53</v>
      </c>
      <c r="D70" s="1">
        <v>0.75</v>
      </c>
    </row>
    <row r="71" spans="3:4" x14ac:dyDescent="0.3">
      <c r="C71" s="1" t="s">
        <v>39</v>
      </c>
      <c r="D71" s="4">
        <v>0.04</v>
      </c>
    </row>
    <row r="72" spans="3:4" x14ac:dyDescent="0.3">
      <c r="C72" s="1" t="s">
        <v>38</v>
      </c>
      <c r="D72" s="24">
        <v>9.5000000000000001E-2</v>
      </c>
    </row>
    <row r="81" spans="2:10" x14ac:dyDescent="0.3">
      <c r="B81" s="42" t="s">
        <v>54</v>
      </c>
      <c r="C81" s="42"/>
      <c r="D81" s="42"/>
      <c r="E81" s="42"/>
      <c r="F81" s="42"/>
      <c r="G81" s="42"/>
      <c r="H81" s="42"/>
      <c r="I81" s="42"/>
      <c r="J81" s="42"/>
    </row>
    <row r="82" spans="2:10" x14ac:dyDescent="0.3">
      <c r="B82" s="42"/>
      <c r="C82" s="42"/>
      <c r="D82" s="42"/>
      <c r="E82" s="42"/>
      <c r="F82" s="42"/>
      <c r="G82" s="42"/>
      <c r="H82" s="42"/>
      <c r="I82" s="42"/>
      <c r="J82" s="42"/>
    </row>
    <row r="84" spans="2:10" x14ac:dyDescent="0.3">
      <c r="B84" t="s">
        <v>56</v>
      </c>
    </row>
    <row r="97" spans="2:8" x14ac:dyDescent="0.3">
      <c r="B97" t="s">
        <v>57</v>
      </c>
    </row>
    <row r="99" spans="2:8" x14ac:dyDescent="0.3">
      <c r="B99" t="s">
        <v>58</v>
      </c>
    </row>
    <row r="101" spans="2:8" ht="28.8" x14ac:dyDescent="0.3">
      <c r="C101" s="54" t="s">
        <v>167</v>
      </c>
      <c r="E101" s="54" t="s">
        <v>168</v>
      </c>
    </row>
    <row r="102" spans="2:8" x14ac:dyDescent="0.3">
      <c r="B102" t="s">
        <v>4</v>
      </c>
      <c r="C102">
        <v>3485</v>
      </c>
      <c r="E102">
        <v>4460</v>
      </c>
    </row>
    <row r="103" spans="2:8" x14ac:dyDescent="0.3">
      <c r="B103" t="s">
        <v>169</v>
      </c>
      <c r="C103">
        <v>850</v>
      </c>
    </row>
    <row r="104" spans="2:8" x14ac:dyDescent="0.3">
      <c r="B104" t="s">
        <v>170</v>
      </c>
      <c r="C104">
        <f>5695</f>
        <v>5695</v>
      </c>
    </row>
    <row r="105" spans="2:8" x14ac:dyDescent="0.3">
      <c r="B105" s="20" t="s">
        <v>59</v>
      </c>
      <c r="C105" s="20">
        <f>+C103+C104</f>
        <v>6545</v>
      </c>
      <c r="E105">
        <f>+C105</f>
        <v>6545</v>
      </c>
    </row>
    <row r="106" spans="2:8" x14ac:dyDescent="0.3">
      <c r="B106" t="s">
        <v>171</v>
      </c>
      <c r="C106" s="20">
        <f>C102+C105</f>
        <v>10030</v>
      </c>
      <c r="D106" s="20"/>
      <c r="E106" s="20">
        <f>E102+E105</f>
        <v>11005</v>
      </c>
    </row>
    <row r="109" spans="2:8" x14ac:dyDescent="0.3">
      <c r="B109" s="43" t="s">
        <v>172</v>
      </c>
      <c r="C109" s="43"/>
      <c r="D109" s="43"/>
      <c r="E109" s="43"/>
      <c r="F109" s="43"/>
      <c r="G109" s="43"/>
      <c r="H109" s="43"/>
    </row>
    <row r="110" spans="2:8" x14ac:dyDescent="0.3">
      <c r="B110" t="s">
        <v>60</v>
      </c>
    </row>
    <row r="112" spans="2:8" ht="14.4" customHeight="1" x14ac:dyDescent="0.3">
      <c r="E112" s="38"/>
      <c r="F112" s="38"/>
      <c r="G112" s="38"/>
      <c r="H112" s="38"/>
    </row>
    <row r="113" spans="2:8" x14ac:dyDescent="0.3">
      <c r="B113" t="s">
        <v>61</v>
      </c>
      <c r="C113">
        <f>E105/E106</f>
        <v>0.59472966833257612</v>
      </c>
      <c r="E113" s="38"/>
      <c r="F113" s="38"/>
      <c r="G113" s="38"/>
      <c r="H113" s="38"/>
    </row>
    <row r="114" spans="2:8" x14ac:dyDescent="0.3">
      <c r="B114" t="s">
        <v>62</v>
      </c>
      <c r="C114">
        <f>E102/E106</f>
        <v>0.40527033166742388</v>
      </c>
    </row>
    <row r="116" spans="2:8" x14ac:dyDescent="0.3">
      <c r="B116" s="22" t="s">
        <v>63</v>
      </c>
    </row>
    <row r="117" spans="2:8" x14ac:dyDescent="0.3">
      <c r="B117" s="22"/>
    </row>
    <row r="118" spans="2:8" ht="72" x14ac:dyDescent="0.3">
      <c r="B118" s="38" t="s">
        <v>76</v>
      </c>
      <c r="C118" s="38"/>
      <c r="D118" s="38"/>
    </row>
    <row r="119" spans="2:8" x14ac:dyDescent="0.3">
      <c r="B119" s="38"/>
      <c r="C119" s="38"/>
      <c r="D119" s="38"/>
    </row>
    <row r="121" spans="2:8" x14ac:dyDescent="0.3">
      <c r="B121" t="s">
        <v>77</v>
      </c>
      <c r="C121">
        <v>442</v>
      </c>
    </row>
    <row r="122" spans="2:8" x14ac:dyDescent="0.3">
      <c r="B122" t="s">
        <v>78</v>
      </c>
      <c r="C122">
        <f>850+5695</f>
        <v>6545</v>
      </c>
    </row>
    <row r="123" spans="2:8" x14ac:dyDescent="0.3">
      <c r="B123" s="2" t="s">
        <v>3</v>
      </c>
      <c r="C123" s="27">
        <f>C121/C122</f>
        <v>6.7532467532467527E-2</v>
      </c>
    </row>
    <row r="125" spans="2:8" x14ac:dyDescent="0.3">
      <c r="B125" t="s">
        <v>79</v>
      </c>
    </row>
    <row r="133" spans="2:3" x14ac:dyDescent="0.3">
      <c r="B133" s="2" t="s">
        <v>80</v>
      </c>
      <c r="C133" s="2">
        <f>D68/D69</f>
        <v>1.3333333333333335</v>
      </c>
    </row>
    <row r="135" spans="2:3" x14ac:dyDescent="0.3">
      <c r="B135" t="s">
        <v>81</v>
      </c>
    </row>
    <row r="136" spans="2:3" x14ac:dyDescent="0.3">
      <c r="B136" t="s">
        <v>82</v>
      </c>
    </row>
    <row r="138" spans="2:3" x14ac:dyDescent="0.3">
      <c r="B138" t="s">
        <v>83</v>
      </c>
    </row>
    <row r="145" spans="2:9" x14ac:dyDescent="0.3">
      <c r="B145" s="1" t="s">
        <v>9</v>
      </c>
      <c r="C145" s="24">
        <f>D71+C133*(D72-D71)</f>
        <v>0.11333333333333334</v>
      </c>
    </row>
    <row r="147" spans="2:9" x14ac:dyDescent="0.3">
      <c r="B147" t="s">
        <v>84</v>
      </c>
    </row>
    <row r="149" spans="2:9" x14ac:dyDescent="0.3">
      <c r="B149" t="s">
        <v>85</v>
      </c>
      <c r="G149" t="s">
        <v>156</v>
      </c>
    </row>
    <row r="151" spans="2:9" x14ac:dyDescent="0.3">
      <c r="B151" s="41" t="s">
        <v>86</v>
      </c>
      <c r="C151" s="41"/>
    </row>
    <row r="152" spans="2:9" x14ac:dyDescent="0.3">
      <c r="B152" s="2" t="s">
        <v>87</v>
      </c>
      <c r="C152" s="2">
        <v>6460</v>
      </c>
    </row>
    <row r="153" spans="2:9" x14ac:dyDescent="0.3">
      <c r="B153" s="2" t="s">
        <v>88</v>
      </c>
      <c r="C153" s="2">
        <v>3188</v>
      </c>
    </row>
    <row r="154" spans="2:9" x14ac:dyDescent="0.3">
      <c r="B154" s="2" t="s">
        <v>89</v>
      </c>
      <c r="C154" s="2">
        <v>1700</v>
      </c>
      <c r="F154" s="39"/>
      <c r="G154" s="39"/>
      <c r="H154" s="39"/>
      <c r="I154" s="39"/>
    </row>
    <row r="155" spans="2:9" x14ac:dyDescent="0.3">
      <c r="B155" s="2" t="s">
        <v>90</v>
      </c>
      <c r="C155" s="2">
        <v>425</v>
      </c>
      <c r="F155" s="39"/>
      <c r="G155" s="39"/>
      <c r="H155" s="39"/>
      <c r="I155" s="39"/>
    </row>
    <row r="156" spans="2:9" x14ac:dyDescent="0.3">
      <c r="B156" s="2" t="s">
        <v>77</v>
      </c>
      <c r="C156" s="2">
        <v>442</v>
      </c>
      <c r="F156" s="39"/>
      <c r="G156" s="39"/>
      <c r="H156" s="39"/>
      <c r="I156" s="39"/>
    </row>
    <row r="157" spans="2:9" x14ac:dyDescent="0.3">
      <c r="B157" s="2" t="s">
        <v>20</v>
      </c>
      <c r="C157" s="2">
        <f>C152-C153-C154-C155-C156</f>
        <v>705</v>
      </c>
    </row>
    <row r="158" spans="2:9" x14ac:dyDescent="0.3">
      <c r="B158" s="2" t="s">
        <v>21</v>
      </c>
      <c r="C158" s="2">
        <v>190</v>
      </c>
    </row>
    <row r="159" spans="2:9" x14ac:dyDescent="0.3">
      <c r="B159" s="2" t="s">
        <v>22</v>
      </c>
      <c r="C159" s="2">
        <f>C157-C158</f>
        <v>515</v>
      </c>
    </row>
    <row r="161" spans="2:8" ht="14.4" customHeight="1" x14ac:dyDescent="0.3">
      <c r="B161" s="2" t="s">
        <v>91</v>
      </c>
      <c r="C161" s="33">
        <f>C158/C157</f>
        <v>0.26950354609929078</v>
      </c>
      <c r="E161" s="34"/>
      <c r="F161" s="34"/>
    </row>
    <row r="162" spans="2:8" x14ac:dyDescent="0.3">
      <c r="E162" s="34"/>
      <c r="F162" s="34"/>
    </row>
    <row r="163" spans="2:8" x14ac:dyDescent="0.3">
      <c r="B163" t="s">
        <v>92</v>
      </c>
    </row>
    <row r="165" spans="2:8" x14ac:dyDescent="0.3">
      <c r="B165" s="6" t="s">
        <v>75</v>
      </c>
      <c r="C165" s="8">
        <f>C114*C145+C113*C123*(1-C161)</f>
        <v>7.5269977218607925E-2</v>
      </c>
    </row>
    <row r="167" spans="2:8" ht="27.6" customHeight="1" x14ac:dyDescent="0.3">
      <c r="B167" s="42" t="s">
        <v>93</v>
      </c>
      <c r="C167" s="42"/>
      <c r="D167" s="42"/>
      <c r="E167" s="42"/>
      <c r="F167" s="42"/>
      <c r="G167" s="42"/>
    </row>
    <row r="168" spans="2:8" x14ac:dyDescent="0.3">
      <c r="B168" s="34"/>
      <c r="C168" s="34"/>
      <c r="D168" s="34"/>
    </row>
    <row r="170" spans="2:8" x14ac:dyDescent="0.3">
      <c r="B170" s="6" t="s">
        <v>9</v>
      </c>
      <c r="C170" s="7">
        <f>C145</f>
        <v>0.11333333333333334</v>
      </c>
    </row>
    <row r="171" spans="2:8" x14ac:dyDescent="0.3">
      <c r="B171" s="56"/>
      <c r="C171" s="56"/>
      <c r="D171" s="56"/>
      <c r="E171" s="56"/>
      <c r="F171" s="56"/>
      <c r="G171" s="56"/>
      <c r="H171" s="56"/>
    </row>
    <row r="172" spans="2:8" x14ac:dyDescent="0.3">
      <c r="B172" s="56"/>
      <c r="C172" s="56"/>
      <c r="D172" s="56"/>
      <c r="E172" s="56"/>
      <c r="F172" s="56"/>
      <c r="G172" s="56"/>
      <c r="H172" s="56"/>
    </row>
    <row r="173" spans="2:8" ht="14.4" customHeight="1" x14ac:dyDescent="0.3">
      <c r="B173" s="56"/>
      <c r="C173" s="56"/>
      <c r="D173" s="56"/>
      <c r="E173" s="55"/>
      <c r="F173" s="55"/>
      <c r="G173" s="55"/>
      <c r="H173" s="57"/>
    </row>
    <row r="174" spans="2:8" x14ac:dyDescent="0.3">
      <c r="B174" s="56"/>
      <c r="C174" s="56"/>
      <c r="D174" s="56"/>
      <c r="E174" s="55"/>
      <c r="F174" s="55"/>
      <c r="G174" s="55"/>
      <c r="H174" s="57"/>
    </row>
    <row r="175" spans="2:8" x14ac:dyDescent="0.3">
      <c r="B175" s="56"/>
      <c r="C175" s="56"/>
      <c r="D175" s="56"/>
      <c r="E175" s="55"/>
      <c r="F175" s="55"/>
      <c r="G175" s="55"/>
      <c r="H175" s="57"/>
    </row>
    <row r="176" spans="2:8" x14ac:dyDescent="0.3">
      <c r="B176" s="56"/>
      <c r="C176" s="56"/>
      <c r="D176" s="56"/>
      <c r="E176" s="55"/>
      <c r="F176" s="55"/>
      <c r="G176" s="55"/>
      <c r="H176" s="57"/>
    </row>
    <row r="177" spans="2:8" x14ac:dyDescent="0.3">
      <c r="B177" s="56"/>
      <c r="C177" s="56"/>
      <c r="D177" s="56"/>
      <c r="E177" s="55"/>
      <c r="F177" s="55"/>
      <c r="G177" s="55"/>
      <c r="H177" s="57"/>
    </row>
    <row r="178" spans="2:8" x14ac:dyDescent="0.3">
      <c r="B178" s="56"/>
      <c r="C178" s="56"/>
      <c r="D178" s="56"/>
      <c r="E178" s="55"/>
      <c r="F178" s="55"/>
      <c r="G178" s="55"/>
      <c r="H178" s="57"/>
    </row>
    <row r="179" spans="2:8" ht="19.8" customHeight="1" x14ac:dyDescent="0.3">
      <c r="B179" s="40" t="s">
        <v>94</v>
      </c>
      <c r="C179" s="40"/>
      <c r="D179" s="40"/>
      <c r="E179" s="40"/>
      <c r="F179" s="40"/>
      <c r="G179" s="40"/>
      <c r="H179" s="40"/>
    </row>
    <row r="180" spans="2:8" ht="19.8" customHeight="1" x14ac:dyDescent="0.3">
      <c r="B180" s="40"/>
      <c r="C180" s="40"/>
      <c r="D180" s="40"/>
      <c r="E180" s="40"/>
      <c r="F180" s="40"/>
      <c r="G180" s="40"/>
      <c r="H180" s="40"/>
    </row>
    <row r="181" spans="2:8" ht="19.8" customHeight="1" x14ac:dyDescent="0.3">
      <c r="B181" s="40"/>
      <c r="C181" s="40"/>
      <c r="D181" s="40"/>
      <c r="E181" s="40"/>
      <c r="F181" s="40"/>
      <c r="G181" s="40"/>
      <c r="H181" s="40"/>
    </row>
    <row r="182" spans="2:8" ht="19.8" customHeight="1" x14ac:dyDescent="0.3">
      <c r="B182" s="40"/>
      <c r="C182" s="40"/>
      <c r="D182" s="40"/>
      <c r="E182" s="40"/>
      <c r="F182" s="40"/>
      <c r="G182" s="40"/>
      <c r="H182" s="40"/>
    </row>
    <row r="183" spans="2:8" ht="19.8" customHeight="1" x14ac:dyDescent="0.3">
      <c r="B183" s="40"/>
      <c r="C183" s="40"/>
      <c r="D183" s="40"/>
      <c r="E183" s="40"/>
      <c r="F183" s="40"/>
      <c r="G183" s="40"/>
      <c r="H183" s="40"/>
    </row>
    <row r="184" spans="2:8" ht="19.8" customHeight="1" x14ac:dyDescent="0.3">
      <c r="B184" s="40"/>
      <c r="C184" s="40"/>
      <c r="D184" s="40"/>
      <c r="E184" s="40"/>
      <c r="F184" s="40"/>
      <c r="G184" s="40"/>
      <c r="H184" s="40"/>
    </row>
    <row r="185" spans="2:8" ht="19.8" customHeight="1" x14ac:dyDescent="0.3">
      <c r="B185" s="40"/>
      <c r="C185" s="40"/>
      <c r="D185" s="40"/>
      <c r="E185" s="40"/>
      <c r="F185" s="40"/>
      <c r="G185" s="40"/>
      <c r="H185" s="40"/>
    </row>
    <row r="186" spans="2:8" ht="19.8" customHeight="1" x14ac:dyDescent="0.3">
      <c r="B186" s="40"/>
      <c r="C186" s="40"/>
      <c r="D186" s="40"/>
      <c r="E186" s="40"/>
      <c r="F186" s="40"/>
      <c r="G186" s="40"/>
      <c r="H186" s="40"/>
    </row>
    <row r="187" spans="2:8" ht="19.8" customHeight="1" x14ac:dyDescent="0.3">
      <c r="B187" s="40"/>
      <c r="C187" s="40"/>
      <c r="D187" s="40"/>
      <c r="E187" s="40"/>
      <c r="F187" s="40"/>
      <c r="G187" s="40"/>
      <c r="H187" s="40"/>
    </row>
    <row r="188" spans="2:8" ht="19.8" customHeight="1" x14ac:dyDescent="0.3">
      <c r="B188" s="40"/>
      <c r="C188" s="40"/>
      <c r="D188" s="40"/>
      <c r="E188" s="40"/>
      <c r="F188" s="40"/>
      <c r="G188" s="40"/>
      <c r="H188" s="40"/>
    </row>
    <row r="189" spans="2:8" ht="19.8" customHeight="1" x14ac:dyDescent="0.3">
      <c r="B189" s="40"/>
      <c r="C189" s="40"/>
      <c r="D189" s="40"/>
      <c r="E189" s="40"/>
      <c r="F189" s="40"/>
      <c r="G189" s="40"/>
      <c r="H189" s="40"/>
    </row>
    <row r="190" spans="2:8" ht="19.8" customHeight="1" x14ac:dyDescent="0.3">
      <c r="B190" s="40"/>
      <c r="C190" s="40"/>
      <c r="D190" s="40"/>
      <c r="E190" s="40"/>
      <c r="F190" s="40"/>
      <c r="G190" s="40"/>
      <c r="H190" s="40"/>
    </row>
    <row r="191" spans="2:8" ht="19.8" customHeight="1" x14ac:dyDescent="0.3">
      <c r="B191" s="40"/>
      <c r="C191" s="40"/>
      <c r="D191" s="40"/>
      <c r="E191" s="40"/>
      <c r="F191" s="40"/>
      <c r="G191" s="40"/>
      <c r="H191" s="40"/>
    </row>
    <row r="192" spans="2:8" ht="19.8" customHeight="1" x14ac:dyDescent="0.3">
      <c r="B192" s="40"/>
      <c r="C192" s="40"/>
      <c r="D192" s="40"/>
      <c r="E192" s="40"/>
      <c r="F192" s="40"/>
      <c r="G192" s="40"/>
      <c r="H192" s="40"/>
    </row>
    <row r="193" spans="2:8" ht="19.8" customHeight="1" x14ac:dyDescent="0.3">
      <c r="B193" s="40"/>
      <c r="C193" s="40"/>
      <c r="D193" s="40"/>
      <c r="E193" s="40"/>
      <c r="F193" s="40"/>
      <c r="G193" s="40"/>
      <c r="H193" s="40"/>
    </row>
    <row r="194" spans="2:8" ht="19.8" customHeight="1" x14ac:dyDescent="0.3">
      <c r="B194" s="40"/>
      <c r="C194" s="40"/>
      <c r="D194" s="40"/>
      <c r="E194" s="40"/>
      <c r="F194" s="40"/>
      <c r="G194" s="40"/>
      <c r="H194" s="40"/>
    </row>
    <row r="195" spans="2:8" x14ac:dyDescent="0.3">
      <c r="B195" s="40"/>
      <c r="C195" s="40"/>
      <c r="D195" s="40"/>
      <c r="E195" s="40"/>
      <c r="F195" s="40"/>
      <c r="G195" s="40"/>
      <c r="H195" s="40"/>
    </row>
    <row r="196" spans="2:8" x14ac:dyDescent="0.3">
      <c r="B196" s="40"/>
      <c r="C196" s="40"/>
      <c r="D196" s="40"/>
      <c r="E196" s="40"/>
      <c r="F196" s="40"/>
      <c r="G196" s="40"/>
      <c r="H196" s="40"/>
    </row>
    <row r="197" spans="2:8" x14ac:dyDescent="0.3">
      <c r="B197" s="40"/>
      <c r="C197" s="40"/>
      <c r="D197" s="40"/>
      <c r="E197" s="40"/>
      <c r="F197" s="40"/>
      <c r="G197" s="40"/>
      <c r="H197" s="40"/>
    </row>
    <row r="198" spans="2:8" x14ac:dyDescent="0.3">
      <c r="B198" s="40"/>
      <c r="C198" s="40"/>
      <c r="D198" s="40"/>
      <c r="E198" s="40"/>
      <c r="F198" s="40"/>
      <c r="G198" s="40"/>
      <c r="H198" s="40"/>
    </row>
    <row r="199" spans="2:8" x14ac:dyDescent="0.3">
      <c r="B199" s="40"/>
      <c r="C199" s="40"/>
      <c r="D199" s="40"/>
      <c r="E199" s="40"/>
      <c r="F199" s="40"/>
      <c r="G199" s="40"/>
      <c r="H199" s="40"/>
    </row>
    <row r="200" spans="2:8" x14ac:dyDescent="0.3">
      <c r="B200" s="57"/>
      <c r="C200" s="57"/>
      <c r="D200" s="57"/>
      <c r="E200" s="57"/>
      <c r="F200" s="57"/>
      <c r="G200" s="57"/>
      <c r="H200" s="57"/>
    </row>
    <row r="201" spans="2:8" x14ac:dyDescent="0.3">
      <c r="B201" s="55"/>
      <c r="C201" s="55"/>
      <c r="D201" s="55"/>
      <c r="E201" s="57"/>
      <c r="F201" s="57"/>
      <c r="G201" s="57"/>
      <c r="H201" s="57"/>
    </row>
    <row r="202" spans="2:8" x14ac:dyDescent="0.3">
      <c r="B202" s="49" t="s">
        <v>121</v>
      </c>
      <c r="C202" s="55"/>
      <c r="D202" s="55"/>
      <c r="E202" s="14"/>
      <c r="F202" s="14"/>
      <c r="G202" s="14"/>
      <c r="H202" s="14"/>
    </row>
    <row r="203" spans="2:8" x14ac:dyDescent="0.3">
      <c r="B203" s="55"/>
      <c r="C203" s="55"/>
      <c r="D203" s="55"/>
      <c r="E203" s="21" t="s">
        <v>158</v>
      </c>
      <c r="F203" s="21" t="s">
        <v>159</v>
      </c>
      <c r="G203" s="14"/>
      <c r="H203" s="14"/>
    </row>
    <row r="204" spans="2:8" x14ac:dyDescent="0.3">
      <c r="C204" s="55"/>
      <c r="D204" s="55"/>
      <c r="G204" s="14"/>
      <c r="H204" s="14"/>
    </row>
    <row r="205" spans="2:8" x14ac:dyDescent="0.3">
      <c r="B205" t="s">
        <v>160</v>
      </c>
      <c r="C205" s="55"/>
      <c r="D205" s="55"/>
      <c r="E205" s="21">
        <f>19755+26169</f>
        <v>45924</v>
      </c>
      <c r="F205" s="21">
        <f>+E106</f>
        <v>11005</v>
      </c>
      <c r="G205" s="28"/>
      <c r="H205" s="28"/>
    </row>
    <row r="206" spans="2:8" x14ac:dyDescent="0.3">
      <c r="B206" t="s">
        <v>161</v>
      </c>
      <c r="E206" s="21">
        <v>34925</v>
      </c>
      <c r="F206" s="21">
        <v>10030</v>
      </c>
    </row>
    <row r="207" spans="2:8" x14ac:dyDescent="0.3">
      <c r="B207" s="20" t="s">
        <v>162</v>
      </c>
      <c r="C207" s="14"/>
      <c r="D207" s="14"/>
      <c r="E207" s="50">
        <f>+E205/E206</f>
        <v>1.3149319971367215</v>
      </c>
      <c r="F207" s="50">
        <f>+F205/F206</f>
        <v>1.0972083748753738</v>
      </c>
      <c r="G207" s="28"/>
      <c r="H207" s="28"/>
    </row>
    <row r="208" spans="2:8" x14ac:dyDescent="0.3">
      <c r="C208" s="14"/>
      <c r="D208" s="14"/>
      <c r="E208" s="51"/>
      <c r="F208" s="51"/>
      <c r="G208" s="28"/>
      <c r="H208" s="28"/>
    </row>
    <row r="209" spans="2:8" x14ac:dyDescent="0.3">
      <c r="B209" t="s">
        <v>163</v>
      </c>
      <c r="C209" s="14"/>
      <c r="D209" s="14"/>
      <c r="E209" s="52">
        <v>7654</v>
      </c>
      <c r="F209" s="52">
        <v>1572</v>
      </c>
      <c r="G209" s="28"/>
      <c r="H209" s="28"/>
    </row>
    <row r="210" spans="2:8" x14ac:dyDescent="0.3">
      <c r="B210" s="20" t="s">
        <v>164</v>
      </c>
      <c r="E210" s="50">
        <f>+E205/E209</f>
        <v>6</v>
      </c>
      <c r="F210" s="50">
        <f>+F205/F209</f>
        <v>7.0006361323155213</v>
      </c>
      <c r="G210" s="28"/>
      <c r="H210" s="28"/>
    </row>
    <row r="211" spans="2:8" x14ac:dyDescent="0.3">
      <c r="E211" s="51"/>
      <c r="F211" s="51"/>
      <c r="G211" s="28"/>
      <c r="H211" s="28"/>
    </row>
    <row r="212" spans="2:8" x14ac:dyDescent="0.3">
      <c r="B212" t="s">
        <v>165</v>
      </c>
      <c r="E212" s="52">
        <v>2185</v>
      </c>
      <c r="F212" s="52">
        <v>515</v>
      </c>
      <c r="G212" s="28"/>
      <c r="H212" s="28"/>
    </row>
    <row r="213" spans="2:8" x14ac:dyDescent="0.3">
      <c r="B213" s="20" t="s">
        <v>166</v>
      </c>
      <c r="C213" s="20"/>
      <c r="D213" s="20"/>
      <c r="E213" s="53">
        <f>E212/19755</f>
        <v>0.11060491014932929</v>
      </c>
      <c r="F213" s="53">
        <f>+F212/E102</f>
        <v>0.11547085201793722</v>
      </c>
      <c r="G213" s="28"/>
      <c r="H213" s="28"/>
    </row>
    <row r="214" spans="2:8" x14ac:dyDescent="0.3">
      <c r="E214" s="28"/>
      <c r="F214" s="28"/>
      <c r="G214" s="28"/>
      <c r="H214" s="28"/>
    </row>
    <row r="215" spans="2:8" x14ac:dyDescent="0.3">
      <c r="B215" s="40" t="s">
        <v>173</v>
      </c>
      <c r="C215" s="40"/>
      <c r="D215" s="40"/>
      <c r="E215" s="40"/>
      <c r="F215" s="40"/>
      <c r="G215" s="40"/>
      <c r="H215" s="28"/>
    </row>
    <row r="216" spans="2:8" x14ac:dyDescent="0.3">
      <c r="B216" s="40"/>
      <c r="C216" s="40"/>
      <c r="D216" s="40"/>
      <c r="E216" s="40"/>
      <c r="F216" s="40"/>
      <c r="G216" s="40"/>
    </row>
    <row r="217" spans="2:8" x14ac:dyDescent="0.3">
      <c r="B217" s="40"/>
      <c r="C217" s="40"/>
      <c r="D217" s="40"/>
      <c r="E217" s="40"/>
      <c r="F217" s="40"/>
      <c r="G217" s="40"/>
    </row>
    <row r="218" spans="2:8" x14ac:dyDescent="0.3">
      <c r="B218" s="40"/>
      <c r="C218" s="40"/>
      <c r="D218" s="40"/>
      <c r="E218" s="40"/>
      <c r="F218" s="40"/>
      <c r="G218" s="40"/>
    </row>
    <row r="219" spans="2:8" x14ac:dyDescent="0.3">
      <c r="B219" s="40"/>
      <c r="C219" s="40"/>
      <c r="D219" s="40"/>
      <c r="E219" s="40"/>
      <c r="F219" s="40"/>
      <c r="G219" s="40"/>
    </row>
    <row r="220" spans="2:8" x14ac:dyDescent="0.3">
      <c r="B220" s="40"/>
      <c r="C220" s="40"/>
      <c r="D220" s="40"/>
      <c r="E220" s="40"/>
      <c r="F220" s="40"/>
      <c r="G220" s="40"/>
    </row>
    <row r="221" spans="2:8" x14ac:dyDescent="0.3">
      <c r="B221" s="40"/>
      <c r="C221" s="40"/>
      <c r="D221" s="40"/>
      <c r="E221" s="40"/>
      <c r="F221" s="40"/>
      <c r="G221" s="40"/>
    </row>
    <row r="222" spans="2:8" x14ac:dyDescent="0.3">
      <c r="B222" s="40"/>
      <c r="C222" s="40"/>
      <c r="D222" s="40"/>
      <c r="E222" s="40"/>
      <c r="F222" s="40"/>
      <c r="G222" s="40"/>
    </row>
    <row r="223" spans="2:8" x14ac:dyDescent="0.3">
      <c r="B223" s="40"/>
      <c r="C223" s="40"/>
      <c r="D223" s="40"/>
      <c r="E223" s="40"/>
      <c r="F223" s="40"/>
      <c r="G223" s="40"/>
    </row>
    <row r="224" spans="2:8" x14ac:dyDescent="0.3">
      <c r="B224" s="40"/>
      <c r="C224" s="40"/>
      <c r="D224" s="40"/>
      <c r="E224" s="40"/>
      <c r="F224" s="40"/>
      <c r="G224" s="40"/>
    </row>
    <row r="225" spans="2:7" x14ac:dyDescent="0.3">
      <c r="B225" s="40"/>
      <c r="C225" s="40"/>
      <c r="D225" s="40"/>
      <c r="E225" s="40"/>
      <c r="F225" s="40"/>
      <c r="G225" s="40"/>
    </row>
    <row r="226" spans="2:7" x14ac:dyDescent="0.3">
      <c r="B226" s="40"/>
      <c r="C226" s="40"/>
      <c r="D226" s="40"/>
      <c r="E226" s="40"/>
      <c r="F226" s="40"/>
      <c r="G226" s="40"/>
    </row>
    <row r="227" spans="2:7" x14ac:dyDescent="0.3">
      <c r="B227" s="40"/>
      <c r="C227" s="40"/>
      <c r="D227" s="40"/>
      <c r="E227" s="40"/>
      <c r="F227" s="40"/>
      <c r="G227" s="40"/>
    </row>
    <row r="228" spans="2:7" x14ac:dyDescent="0.3">
      <c r="B228" s="40"/>
      <c r="C228" s="40"/>
      <c r="D228" s="40"/>
      <c r="E228" s="40"/>
      <c r="F228" s="40"/>
      <c r="G228" s="40"/>
    </row>
    <row r="229" spans="2:7" x14ac:dyDescent="0.3">
      <c r="B229" s="40"/>
      <c r="C229" s="40"/>
      <c r="D229" s="40"/>
      <c r="E229" s="40"/>
      <c r="F229" s="40"/>
      <c r="G229" s="40"/>
    </row>
  </sheetData>
  <mergeCells count="11">
    <mergeCell ref="B215:G229"/>
    <mergeCell ref="B52:H58"/>
    <mergeCell ref="C66:D66"/>
    <mergeCell ref="B81:J82"/>
    <mergeCell ref="B109:H109"/>
    <mergeCell ref="B167:G167"/>
    <mergeCell ref="B179:H199"/>
    <mergeCell ref="B20:H27"/>
    <mergeCell ref="B31:H38"/>
    <mergeCell ref="B42:H48"/>
    <mergeCell ref="B151:C15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8A519-AA48-4F95-AA92-B8D5B50A9B27}">
  <dimension ref="B4:H204"/>
  <sheetViews>
    <sheetView tabSelected="1" topLeftCell="A55" zoomScale="92" workbookViewId="0">
      <selection activeCell="C209" sqref="C209"/>
    </sheetView>
  </sheetViews>
  <sheetFormatPr baseColWidth="10" defaultRowHeight="14.4" x14ac:dyDescent="0.3"/>
  <cols>
    <col min="2" max="2" width="14.5546875" customWidth="1"/>
    <col min="3" max="3" width="13.44140625" bestFit="1" customWidth="1"/>
    <col min="4" max="4" width="12.5546875" bestFit="1" customWidth="1"/>
    <col min="7" max="7" width="11.88671875" bestFit="1" customWidth="1"/>
  </cols>
  <sheetData>
    <row r="4" spans="3:4" x14ac:dyDescent="0.3">
      <c r="C4" s="41" t="s">
        <v>0</v>
      </c>
      <c r="D4" s="41"/>
    </row>
    <row r="5" spans="3:4" x14ac:dyDescent="0.3">
      <c r="C5" s="2" t="s">
        <v>2</v>
      </c>
      <c r="D5" s="4">
        <v>0.15</v>
      </c>
    </row>
    <row r="6" spans="3:4" x14ac:dyDescent="0.3">
      <c r="C6" s="2" t="s">
        <v>9</v>
      </c>
      <c r="D6" s="18">
        <v>0.125</v>
      </c>
    </row>
    <row r="7" spans="3:4" x14ac:dyDescent="0.3">
      <c r="C7" s="2" t="s">
        <v>38</v>
      </c>
      <c r="D7" s="4">
        <v>0.11</v>
      </c>
    </row>
    <row r="8" spans="3:4" x14ac:dyDescent="0.3">
      <c r="C8" s="2" t="s">
        <v>39</v>
      </c>
      <c r="D8" s="4">
        <v>0.05</v>
      </c>
    </row>
    <row r="9" spans="3:4" x14ac:dyDescent="0.3">
      <c r="C9" s="3" t="s">
        <v>40</v>
      </c>
      <c r="D9" s="19">
        <v>10000000</v>
      </c>
    </row>
    <row r="10" spans="3:4" x14ac:dyDescent="0.3">
      <c r="C10" s="2" t="s">
        <v>41</v>
      </c>
      <c r="D10" s="5">
        <v>17</v>
      </c>
    </row>
    <row r="11" spans="3:4" x14ac:dyDescent="0.3">
      <c r="C11" s="2" t="s">
        <v>34</v>
      </c>
      <c r="D11" s="4">
        <v>0.21</v>
      </c>
    </row>
    <row r="19" spans="2:3" x14ac:dyDescent="0.3">
      <c r="B19" t="s">
        <v>64</v>
      </c>
    </row>
    <row r="27" spans="2:3" x14ac:dyDescent="0.3">
      <c r="B27" t="s">
        <v>65</v>
      </c>
    </row>
    <row r="29" spans="2:3" x14ac:dyDescent="0.3">
      <c r="B29" s="30" t="s">
        <v>67</v>
      </c>
      <c r="C29" s="31">
        <f>(D6-D8)/(D7-D8)</f>
        <v>1.25</v>
      </c>
    </row>
    <row r="31" spans="2:3" x14ac:dyDescent="0.3">
      <c r="B31" s="30" t="s">
        <v>66</v>
      </c>
      <c r="C31" s="32">
        <f>(5%-D8)/(D7-D8)</f>
        <v>0</v>
      </c>
    </row>
    <row r="33" spans="2:2" x14ac:dyDescent="0.3">
      <c r="B33" t="s">
        <v>68</v>
      </c>
    </row>
    <row r="39" spans="2:2" x14ac:dyDescent="0.3">
      <c r="B39" t="s">
        <v>69</v>
      </c>
    </row>
    <row r="52" spans="2:8" x14ac:dyDescent="0.3">
      <c r="B52" t="s">
        <v>70</v>
      </c>
    </row>
    <row r="54" spans="2:8" x14ac:dyDescent="0.3">
      <c r="B54" s="42" t="s">
        <v>71</v>
      </c>
      <c r="C54" s="42"/>
      <c r="D54" s="42"/>
      <c r="E54" s="42"/>
      <c r="F54" s="42"/>
      <c r="G54" s="42"/>
      <c r="H54" s="42"/>
    </row>
    <row r="55" spans="2:8" x14ac:dyDescent="0.3">
      <c r="B55" s="42"/>
      <c r="C55" s="42"/>
      <c r="D55" s="42"/>
      <c r="E55" s="42"/>
      <c r="F55" s="42"/>
      <c r="G55" s="42"/>
      <c r="H55" s="42"/>
    </row>
    <row r="57" spans="2:8" x14ac:dyDescent="0.3">
      <c r="B57" s="21" t="s">
        <v>14</v>
      </c>
      <c r="C57" s="26">
        <f>D9*D10</f>
        <v>170000000</v>
      </c>
    </row>
    <row r="59" spans="2:8" x14ac:dyDescent="0.3">
      <c r="B59" s="42" t="s">
        <v>72</v>
      </c>
      <c r="C59" s="42"/>
      <c r="D59" s="42"/>
      <c r="E59" s="42"/>
      <c r="F59" s="42"/>
      <c r="G59" s="42"/>
      <c r="H59" s="42"/>
    </row>
    <row r="60" spans="2:8" x14ac:dyDescent="0.3">
      <c r="B60" s="42"/>
      <c r="C60" s="42"/>
      <c r="D60" s="42"/>
      <c r="E60" s="42"/>
      <c r="F60" s="42"/>
      <c r="G60" s="42"/>
      <c r="H60" s="42"/>
    </row>
    <row r="62" spans="2:8" x14ac:dyDescent="0.3">
      <c r="B62" s="21" t="s">
        <v>73</v>
      </c>
      <c r="C62" s="26">
        <f>C57*D5/0.85</f>
        <v>30000000</v>
      </c>
    </row>
    <row r="64" spans="2:8" x14ac:dyDescent="0.3">
      <c r="B64" t="s">
        <v>74</v>
      </c>
    </row>
    <row r="66" spans="2:3" x14ac:dyDescent="0.3">
      <c r="B66" s="6" t="s">
        <v>75</v>
      </c>
      <c r="C66" s="8">
        <f>(C57/(C57+C62))*D6+(C62/(C62+C57))*D8*(1-D11)</f>
        <v>0.112175</v>
      </c>
    </row>
    <row r="77" spans="2:3" x14ac:dyDescent="0.3">
      <c r="B77" s="20" t="s">
        <v>120</v>
      </c>
    </row>
    <row r="79" spans="2:3" x14ac:dyDescent="0.3">
      <c r="B79" t="s">
        <v>95</v>
      </c>
    </row>
    <row r="87" spans="2:6" x14ac:dyDescent="0.3">
      <c r="B87" t="s">
        <v>96</v>
      </c>
      <c r="C87" s="25">
        <f>(14.5%-D8)/(D7-D8)</f>
        <v>1.5833333333333333</v>
      </c>
    </row>
    <row r="89" spans="2:6" x14ac:dyDescent="0.3">
      <c r="B89" t="s">
        <v>97</v>
      </c>
    </row>
    <row r="93" spans="2:6" x14ac:dyDescent="0.3">
      <c r="F93" t="s">
        <v>98</v>
      </c>
    </row>
    <row r="97" spans="2:5" x14ac:dyDescent="0.3">
      <c r="B97" t="s">
        <v>99</v>
      </c>
      <c r="C97" s="29">
        <f>C29/(1+(C62/C57)*(1-D11))</f>
        <v>1.0970573051109964</v>
      </c>
    </row>
    <row r="99" spans="2:5" x14ac:dyDescent="0.3">
      <c r="B99" t="s">
        <v>100</v>
      </c>
    </row>
    <row r="101" spans="2:5" x14ac:dyDescent="0.3">
      <c r="B101" t="s">
        <v>101</v>
      </c>
      <c r="C101">
        <f>((C87/C97)-1)/(1-D11)</f>
        <v>0.56108215438073938</v>
      </c>
    </row>
    <row r="103" spans="2:5" x14ac:dyDescent="0.3">
      <c r="B103" t="s">
        <v>102</v>
      </c>
    </row>
    <row r="108" spans="2:5" x14ac:dyDescent="0.3">
      <c r="B108" t="s">
        <v>114</v>
      </c>
    </row>
    <row r="110" spans="2:5" x14ac:dyDescent="0.3">
      <c r="B110" t="s">
        <v>103</v>
      </c>
    </row>
    <row r="112" spans="2:5" x14ac:dyDescent="0.3">
      <c r="B112" t="s">
        <v>104</v>
      </c>
      <c r="C112" t="s">
        <v>115</v>
      </c>
      <c r="E112" t="s">
        <v>116</v>
      </c>
    </row>
    <row r="114" spans="2:3" x14ac:dyDescent="0.3">
      <c r="B114" t="s">
        <v>104</v>
      </c>
      <c r="C114" t="s">
        <v>117</v>
      </c>
    </row>
    <row r="116" spans="2:3" x14ac:dyDescent="0.3">
      <c r="B116" t="s">
        <v>105</v>
      </c>
    </row>
    <row r="118" spans="2:3" x14ac:dyDescent="0.3">
      <c r="B118" t="s">
        <v>106</v>
      </c>
    </row>
    <row r="120" spans="2:3" x14ac:dyDescent="0.3">
      <c r="B120" t="s">
        <v>107</v>
      </c>
    </row>
    <row r="122" spans="2:3" x14ac:dyDescent="0.3">
      <c r="B122" t="s">
        <v>118</v>
      </c>
    </row>
    <row r="124" spans="2:3" x14ac:dyDescent="0.3">
      <c r="B124" t="s">
        <v>108</v>
      </c>
    </row>
    <row r="131" spans="2:3" x14ac:dyDescent="0.3">
      <c r="B131" t="s">
        <v>109</v>
      </c>
      <c r="C131">
        <f>(C101*193.7)/(1+0.79*C101)</f>
        <v>75.303131245836084</v>
      </c>
    </row>
    <row r="133" spans="2:3" x14ac:dyDescent="0.3">
      <c r="B133" t="s">
        <v>110</v>
      </c>
    </row>
    <row r="135" spans="2:3" x14ac:dyDescent="0.3">
      <c r="B135" t="s">
        <v>111</v>
      </c>
      <c r="C135">
        <f>C131/C101</f>
        <v>134.21052631578948</v>
      </c>
    </row>
    <row r="137" spans="2:3" x14ac:dyDescent="0.3">
      <c r="B137" t="s">
        <v>112</v>
      </c>
    </row>
    <row r="139" spans="2:3" x14ac:dyDescent="0.3">
      <c r="B139" s="6" t="s">
        <v>113</v>
      </c>
      <c r="C139" s="6">
        <f>C131+C135</f>
        <v>209.51365756162556</v>
      </c>
    </row>
    <row r="141" spans="2:3" x14ac:dyDescent="0.3">
      <c r="B141" t="s">
        <v>119</v>
      </c>
    </row>
    <row r="143" spans="2:3" x14ac:dyDescent="0.3">
      <c r="B143" s="6" t="s">
        <v>13</v>
      </c>
      <c r="C143" s="6">
        <f>C131-30</f>
        <v>45.303131245836084</v>
      </c>
    </row>
    <row r="145" spans="2:5" x14ac:dyDescent="0.3">
      <c r="B145" s="20" t="s">
        <v>121</v>
      </c>
    </row>
    <row r="147" spans="2:5" x14ac:dyDescent="0.3">
      <c r="B147" t="s">
        <v>122</v>
      </c>
    </row>
    <row r="149" spans="2:5" x14ac:dyDescent="0.3">
      <c r="B149" t="s">
        <v>123</v>
      </c>
      <c r="C149" s="26">
        <f>C57*D6</f>
        <v>21250000</v>
      </c>
    </row>
    <row r="150" spans="2:5" x14ac:dyDescent="0.3">
      <c r="B150" t="s">
        <v>124</v>
      </c>
      <c r="C150" s="26">
        <f>C149/(1-D11)</f>
        <v>26898734.177215189</v>
      </c>
    </row>
    <row r="151" spans="2:5" x14ac:dyDescent="0.3">
      <c r="B151" t="s">
        <v>125</v>
      </c>
      <c r="C151" s="26">
        <f>+C62*5%</f>
        <v>1500000</v>
      </c>
    </row>
    <row r="152" spans="2:5" x14ac:dyDescent="0.3">
      <c r="B152" s="30" t="s">
        <v>126</v>
      </c>
      <c r="C152" s="35">
        <f>C150+C151</f>
        <v>28398734.177215189</v>
      </c>
      <c r="E152" s="20" t="s">
        <v>127</v>
      </c>
    </row>
    <row r="154" spans="2:5" x14ac:dyDescent="0.3">
      <c r="B154" t="s">
        <v>128</v>
      </c>
    </row>
    <row r="156" spans="2:5" x14ac:dyDescent="0.3">
      <c r="B156" t="s">
        <v>129</v>
      </c>
      <c r="C156" t="s">
        <v>130</v>
      </c>
    </row>
    <row r="157" spans="2:5" x14ac:dyDescent="0.3">
      <c r="B157" t="s">
        <v>131</v>
      </c>
      <c r="C157" t="s">
        <v>132</v>
      </c>
    </row>
    <row r="158" spans="2:5" x14ac:dyDescent="0.3">
      <c r="B158" t="s">
        <v>133</v>
      </c>
      <c r="C158" t="s">
        <v>134</v>
      </c>
    </row>
    <row r="159" spans="2:5" x14ac:dyDescent="0.3">
      <c r="B159" t="s">
        <v>135</v>
      </c>
      <c r="C159" t="s">
        <v>136</v>
      </c>
    </row>
    <row r="160" spans="2:5" x14ac:dyDescent="0.3">
      <c r="B160" t="s">
        <v>137</v>
      </c>
      <c r="C160" t="s">
        <v>138</v>
      </c>
    </row>
    <row r="162" spans="2:8" x14ac:dyDescent="0.3">
      <c r="B162" t="s">
        <v>139</v>
      </c>
    </row>
    <row r="166" spans="2:8" x14ac:dyDescent="0.3">
      <c r="B166" t="s">
        <v>140</v>
      </c>
    </row>
    <row r="168" spans="2:8" x14ac:dyDescent="0.3">
      <c r="B168" s="6" t="s">
        <v>141</v>
      </c>
      <c r="C168" s="36">
        <f>(C149-14.5%*C57)/(-14.5%+(1-21%)*5%)</f>
        <v>32227488.151658773</v>
      </c>
    </row>
    <row r="170" spans="2:8" x14ac:dyDescent="0.3">
      <c r="B170" t="s">
        <v>142</v>
      </c>
      <c r="E170" s="48" t="s">
        <v>129</v>
      </c>
      <c r="F170" s="48"/>
      <c r="G170" s="26">
        <f>C172</f>
        <v>62227488.151658773</v>
      </c>
    </row>
    <row r="171" spans="2:8" x14ac:dyDescent="0.3">
      <c r="E171" s="48" t="s">
        <v>131</v>
      </c>
      <c r="F171" s="48"/>
      <c r="G171" s="26">
        <f>C173</f>
        <v>137772511.84834123</v>
      </c>
    </row>
    <row r="172" spans="2:8" x14ac:dyDescent="0.3">
      <c r="B172" t="s">
        <v>109</v>
      </c>
      <c r="C172" s="26">
        <f>C62+C168</f>
        <v>62227488.151658773</v>
      </c>
      <c r="E172" s="48" t="s">
        <v>133</v>
      </c>
      <c r="F172" s="48"/>
      <c r="G172" s="26">
        <f>C151+C168*5%</f>
        <v>3111374.4075829387</v>
      </c>
    </row>
    <row r="173" spans="2:8" x14ac:dyDescent="0.3">
      <c r="B173" t="s">
        <v>143</v>
      </c>
      <c r="C173" s="26">
        <f>C57-C168</f>
        <v>137772511.84834123</v>
      </c>
      <c r="E173" s="48" t="s">
        <v>135</v>
      </c>
      <c r="F173" s="48"/>
      <c r="G173" s="26">
        <f>21%*(C150-C168*5%)</f>
        <v>5310345.5516227726</v>
      </c>
    </row>
    <row r="174" spans="2:8" x14ac:dyDescent="0.3">
      <c r="B174" t="s">
        <v>144</v>
      </c>
      <c r="C174" s="26">
        <f>C172+C173</f>
        <v>200000000</v>
      </c>
      <c r="E174" s="48" t="s">
        <v>137</v>
      </c>
      <c r="F174" s="48"/>
      <c r="G174" s="26">
        <f>C149-((1-21%)*C168*5%)</f>
        <v>19977014.218009479</v>
      </c>
    </row>
    <row r="176" spans="2:8" x14ac:dyDescent="0.3">
      <c r="B176" s="42" t="s">
        <v>145</v>
      </c>
      <c r="C176" s="42"/>
      <c r="D176" s="42"/>
      <c r="E176" s="42"/>
      <c r="F176" s="42"/>
      <c r="G176" s="42"/>
      <c r="H176" s="42"/>
    </row>
    <row r="177" spans="2:8" x14ac:dyDescent="0.3">
      <c r="B177" s="42"/>
      <c r="C177" s="42"/>
      <c r="D177" s="42"/>
      <c r="E177" s="42"/>
      <c r="F177" s="42"/>
      <c r="G177" s="42"/>
      <c r="H177" s="42"/>
    </row>
    <row r="179" spans="2:8" x14ac:dyDescent="0.3">
      <c r="B179" s="37" t="s">
        <v>146</v>
      </c>
    </row>
    <row r="180" spans="2:8" x14ac:dyDescent="0.3">
      <c r="B180" s="34"/>
    </row>
    <row r="181" spans="2:8" ht="16.8" customHeight="1" x14ac:dyDescent="0.3">
      <c r="B181" s="37" t="s">
        <v>147</v>
      </c>
    </row>
    <row r="182" spans="2:8" x14ac:dyDescent="0.3">
      <c r="B182" s="34"/>
    </row>
    <row r="183" spans="2:8" x14ac:dyDescent="0.3">
      <c r="B183" t="s">
        <v>148</v>
      </c>
    </row>
    <row r="185" spans="2:8" x14ac:dyDescent="0.3">
      <c r="B185" t="s">
        <v>149</v>
      </c>
    </row>
    <row r="187" spans="2:8" x14ac:dyDescent="0.3">
      <c r="B187" t="s">
        <v>150</v>
      </c>
    </row>
    <row r="189" spans="2:8" x14ac:dyDescent="0.3">
      <c r="B189" t="s">
        <v>151</v>
      </c>
    </row>
    <row r="191" spans="2:8" x14ac:dyDescent="0.3">
      <c r="B191" s="48" t="s">
        <v>152</v>
      </c>
      <c r="C191" s="48"/>
    </row>
    <row r="193" spans="2:3" x14ac:dyDescent="0.3">
      <c r="B193" s="6" t="s">
        <v>141</v>
      </c>
      <c r="C193" s="36">
        <f>(C149-14.5%*C57)/(-14.5%*(1-D11)+(1-D11)*5%)</f>
        <v>45303131.245836116</v>
      </c>
    </row>
    <row r="194" spans="2:3" x14ac:dyDescent="0.3">
      <c r="C194" s="26"/>
    </row>
    <row r="195" spans="2:3" x14ac:dyDescent="0.3">
      <c r="B195" t="s">
        <v>153</v>
      </c>
      <c r="C195" s="26">
        <f>C62+C193</f>
        <v>75303131.245836109</v>
      </c>
    </row>
    <row r="196" spans="2:3" x14ac:dyDescent="0.3">
      <c r="C196" s="26"/>
    </row>
    <row r="197" spans="2:3" x14ac:dyDescent="0.3">
      <c r="B197" t="s">
        <v>150</v>
      </c>
      <c r="C197" s="26">
        <f>C57-C193+C193*21%</f>
        <v>134210526.31578948</v>
      </c>
    </row>
    <row r="198" spans="2:3" x14ac:dyDescent="0.3">
      <c r="C198" s="26"/>
    </row>
    <row r="199" spans="2:3" x14ac:dyDescent="0.3">
      <c r="B199" s="30" t="s">
        <v>154</v>
      </c>
      <c r="C199" s="35">
        <f>C195+C197</f>
        <v>209513657.5616256</v>
      </c>
    </row>
    <row r="201" spans="2:3" x14ac:dyDescent="0.3">
      <c r="B201" t="s">
        <v>155</v>
      </c>
    </row>
    <row r="204" spans="2:3" x14ac:dyDescent="0.3">
      <c r="B204" s="20" t="s">
        <v>157</v>
      </c>
    </row>
  </sheetData>
  <mergeCells count="10">
    <mergeCell ref="C4:D4"/>
    <mergeCell ref="B54:H55"/>
    <mergeCell ref="B59:H60"/>
    <mergeCell ref="E170:F170"/>
    <mergeCell ref="E171:F171"/>
    <mergeCell ref="E172:F172"/>
    <mergeCell ref="E173:F173"/>
    <mergeCell ref="E174:F174"/>
    <mergeCell ref="B176:H177"/>
    <mergeCell ref="B191:C19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P1</vt:lpstr>
      <vt:lpstr>P2</vt:lpstr>
      <vt:lpstr>P3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Andrés Vega López (felipe.vega.l)</dc:creator>
  <cp:lastModifiedBy>Felipe Andrés Vega López (felipe.vega.l)</cp:lastModifiedBy>
  <dcterms:created xsi:type="dcterms:W3CDTF">2024-11-08T02:18:12Z</dcterms:created>
  <dcterms:modified xsi:type="dcterms:W3CDTF">2024-11-11T21:20:32Z</dcterms:modified>
</cp:coreProperties>
</file>