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pev\Desktop\"/>
    </mc:Choice>
  </mc:AlternateContent>
  <xr:revisionPtr revIDLastSave="0" documentId="13_ncr:1_{B708075C-8BE6-4EE8-8ED4-CAE432FA53E1}" xr6:coauthVersionLast="47" xr6:coauthVersionMax="47" xr10:uidLastSave="{00000000-0000-0000-0000-000000000000}"/>
  <bookViews>
    <workbookView xWindow="-120" yWindow="-120" windowWidth="20730" windowHeight="11160" firstSheet="5" activeTab="7" xr2:uid="{F5A2A75F-AB58-4E60-B68A-C4D59E944200}"/>
  </bookViews>
  <sheets>
    <sheet name="SQM" sheetId="4" r:id="rId1"/>
    <sheet name="COPEC" sheetId="5" r:id="rId2"/>
    <sheet name="CMPC" sheetId="7" r:id="rId3"/>
    <sheet name="CCU" sheetId="10" r:id="rId4"/>
    <sheet name="SUDAMERICANA DE VAPORES" sheetId="9" r:id="rId5"/>
    <sheet name="CAP" sheetId="8" r:id="rId6"/>
    <sheet name="ENEL" sheetId="12" r:id="rId7"/>
    <sheet name="LATAM" sheetId="14" r:id="rId8"/>
    <sheet name="COLBUN" sheetId="16" r:id="rId9"/>
    <sheet name="PARQUE ARAUCO" sheetId="17" r:id="rId10"/>
    <sheet name="CONCHA Y TORO" sheetId="19" r:id="rId11"/>
    <sheet name="P1 v.2" sheetId="3" state="hidden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19" l="1"/>
  <c r="C18" i="19" s="1"/>
  <c r="B17" i="19"/>
  <c r="B35" i="19" s="1"/>
  <c r="B29" i="19"/>
  <c r="C45" i="19"/>
  <c r="B45" i="19"/>
  <c r="C40" i="19"/>
  <c r="C41" i="19" s="1"/>
  <c r="B40" i="19"/>
  <c r="B41" i="19" s="1"/>
  <c r="C35" i="19"/>
  <c r="C32" i="19"/>
  <c r="B32" i="19"/>
  <c r="C29" i="19"/>
  <c r="C25" i="19"/>
  <c r="B25" i="19"/>
  <c r="C21" i="19"/>
  <c r="B21" i="19"/>
  <c r="B18" i="19"/>
  <c r="C15" i="17"/>
  <c r="B15" i="17"/>
  <c r="B18" i="17" s="1"/>
  <c r="C17" i="17"/>
  <c r="C35" i="17" s="1"/>
  <c r="B17" i="17"/>
  <c r="C45" i="17"/>
  <c r="B45" i="17"/>
  <c r="C40" i="17"/>
  <c r="C41" i="17" s="1"/>
  <c r="B40" i="17"/>
  <c r="B41" i="17" s="1"/>
  <c r="C32" i="17"/>
  <c r="B32" i="17"/>
  <c r="C29" i="17"/>
  <c r="B29" i="17"/>
  <c r="C25" i="17"/>
  <c r="B25" i="17"/>
  <c r="C21" i="17"/>
  <c r="B21" i="17"/>
  <c r="C17" i="16"/>
  <c r="C35" i="16" s="1"/>
  <c r="B17" i="16"/>
  <c r="B35" i="16" s="1"/>
  <c r="C45" i="16"/>
  <c r="B45" i="16"/>
  <c r="C40" i="16"/>
  <c r="C41" i="16" s="1"/>
  <c r="B40" i="16"/>
  <c r="B41" i="16" s="1"/>
  <c r="C32" i="16"/>
  <c r="B32" i="16"/>
  <c r="C29" i="16"/>
  <c r="B29" i="16"/>
  <c r="C25" i="16"/>
  <c r="B25" i="16"/>
  <c r="C21" i="16"/>
  <c r="B21" i="16"/>
  <c r="B29" i="14"/>
  <c r="C17" i="14"/>
  <c r="C35" i="14" s="1"/>
  <c r="B17" i="14"/>
  <c r="B35" i="14" s="1"/>
  <c r="C45" i="14"/>
  <c r="B45" i="14"/>
  <c r="C40" i="14"/>
  <c r="C41" i="14" s="1"/>
  <c r="B40" i="14"/>
  <c r="B41" i="14" s="1"/>
  <c r="C32" i="14"/>
  <c r="B32" i="14"/>
  <c r="C29" i="14"/>
  <c r="C25" i="14"/>
  <c r="B25" i="14"/>
  <c r="C21" i="14"/>
  <c r="B21" i="14"/>
  <c r="C25" i="4"/>
  <c r="B25" i="10"/>
  <c r="C17" i="12"/>
  <c r="C18" i="12" s="1"/>
  <c r="B17" i="12"/>
  <c r="C45" i="12"/>
  <c r="B45" i="12"/>
  <c r="C40" i="12"/>
  <c r="C41" i="12" s="1"/>
  <c r="B40" i="12"/>
  <c r="B41" i="12" s="1"/>
  <c r="B35" i="12"/>
  <c r="C32" i="12"/>
  <c r="B32" i="12"/>
  <c r="C29" i="12"/>
  <c r="B29" i="12"/>
  <c r="C25" i="12"/>
  <c r="B25" i="12"/>
  <c r="C21" i="12"/>
  <c r="B21" i="12"/>
  <c r="B18" i="12"/>
  <c r="C17" i="8"/>
  <c r="B17" i="8"/>
  <c r="B35" i="9"/>
  <c r="C25" i="9"/>
  <c r="C17" i="9"/>
  <c r="B17" i="9"/>
  <c r="E21" i="9"/>
  <c r="D21" i="9"/>
  <c r="C17" i="10"/>
  <c r="B17" i="10"/>
  <c r="C26" i="19" l="1"/>
  <c r="B26" i="19"/>
  <c r="C26" i="17"/>
  <c r="C18" i="17"/>
  <c r="B35" i="17"/>
  <c r="B26" i="17"/>
  <c r="C18" i="16"/>
  <c r="C26" i="16"/>
  <c r="B26" i="16"/>
  <c r="B18" i="16"/>
  <c r="C18" i="14"/>
  <c r="C26" i="14"/>
  <c r="B18" i="14"/>
  <c r="B26" i="14"/>
  <c r="B26" i="12"/>
  <c r="C26" i="12"/>
  <c r="C35" i="12"/>
  <c r="C45" i="10"/>
  <c r="B45" i="10"/>
  <c r="C40" i="10"/>
  <c r="C41" i="10" s="1"/>
  <c r="B40" i="10"/>
  <c r="B41" i="10" s="1"/>
  <c r="B35" i="10"/>
  <c r="C32" i="10"/>
  <c r="B32" i="10"/>
  <c r="C29" i="10"/>
  <c r="B29" i="10"/>
  <c r="C25" i="10"/>
  <c r="C26" i="10" s="1"/>
  <c r="B26" i="10"/>
  <c r="C21" i="10"/>
  <c r="B21" i="10"/>
  <c r="C18" i="10"/>
  <c r="C35" i="10"/>
  <c r="B18" i="10"/>
  <c r="C45" i="9"/>
  <c r="B45" i="9"/>
  <c r="C32" i="9"/>
  <c r="B32" i="9"/>
  <c r="C29" i="9"/>
  <c r="B29" i="9"/>
  <c r="B25" i="9"/>
  <c r="B26" i="9" s="1"/>
  <c r="C21" i="9"/>
  <c r="B21" i="9"/>
  <c r="C18" i="9"/>
  <c r="B18" i="9"/>
  <c r="C45" i="8"/>
  <c r="B45" i="8"/>
  <c r="C40" i="8"/>
  <c r="C41" i="8" s="1"/>
  <c r="B40" i="8"/>
  <c r="B41" i="8" s="1"/>
  <c r="C32" i="8"/>
  <c r="B32" i="8"/>
  <c r="C29" i="8"/>
  <c r="B29" i="8"/>
  <c r="C25" i="8"/>
  <c r="C26" i="8" s="1"/>
  <c r="B25" i="8"/>
  <c r="B26" i="8" s="1"/>
  <c r="C21" i="8"/>
  <c r="B21" i="8"/>
  <c r="C35" i="8"/>
  <c r="B35" i="8"/>
  <c r="C17" i="7"/>
  <c r="B17" i="7"/>
  <c r="B18" i="7" s="1"/>
  <c r="C45" i="7"/>
  <c r="B45" i="7"/>
  <c r="C40" i="7"/>
  <c r="C41" i="7" s="1"/>
  <c r="B40" i="7"/>
  <c r="B41" i="7" s="1"/>
  <c r="C32" i="7"/>
  <c r="B32" i="7"/>
  <c r="C29" i="7"/>
  <c r="B29" i="7"/>
  <c r="C25" i="7"/>
  <c r="B25" i="7"/>
  <c r="C21" i="7"/>
  <c r="B21" i="7"/>
  <c r="C35" i="7"/>
  <c r="B18" i="5"/>
  <c r="C17" i="5"/>
  <c r="C18" i="5" s="1"/>
  <c r="B17" i="5"/>
  <c r="C45" i="5"/>
  <c r="B45" i="5"/>
  <c r="C40" i="5"/>
  <c r="C41" i="5" s="1"/>
  <c r="B40" i="5"/>
  <c r="B41" i="5" s="1"/>
  <c r="C32" i="5"/>
  <c r="B32" i="5"/>
  <c r="C29" i="5"/>
  <c r="B29" i="5"/>
  <c r="C25" i="5"/>
  <c r="B25" i="5"/>
  <c r="C21" i="5"/>
  <c r="B21" i="5"/>
  <c r="C41" i="4"/>
  <c r="B40" i="4"/>
  <c r="B41" i="4" s="1"/>
  <c r="C40" i="4"/>
  <c r="C45" i="4"/>
  <c r="B45" i="4"/>
  <c r="B32" i="4"/>
  <c r="B29" i="4"/>
  <c r="B25" i="4"/>
  <c r="C21" i="4"/>
  <c r="B21" i="4"/>
  <c r="C17" i="4"/>
  <c r="C35" i="4" s="1"/>
  <c r="B17" i="4"/>
  <c r="B35" i="4" s="1"/>
  <c r="C32" i="4"/>
  <c r="C29" i="4"/>
  <c r="Q35" i="3"/>
  <c r="P35" i="3"/>
  <c r="Q34" i="3"/>
  <c r="P34" i="3"/>
  <c r="Q28" i="3"/>
  <c r="P28" i="3"/>
  <c r="Q25" i="3"/>
  <c r="P25" i="3"/>
  <c r="Q15" i="3"/>
  <c r="Q39" i="3" s="1"/>
  <c r="P15" i="3"/>
  <c r="P39" i="3" s="1"/>
  <c r="D1" i="3"/>
  <c r="F1" i="3" s="1"/>
  <c r="H1" i="3" s="1"/>
  <c r="J1" i="3" s="1"/>
  <c r="L1" i="3" s="1"/>
  <c r="N1" i="3" s="1"/>
  <c r="P1" i="3" s="1"/>
  <c r="R1" i="3" s="1"/>
  <c r="T1" i="3" s="1"/>
  <c r="V1" i="3" s="1"/>
  <c r="X1" i="3" s="1"/>
  <c r="Z1" i="3" s="1"/>
  <c r="AB1" i="3" s="1"/>
  <c r="AD1" i="3" s="1"/>
  <c r="AF1" i="3" s="1"/>
  <c r="AH1" i="3" s="1"/>
  <c r="AJ1" i="3" s="1"/>
  <c r="AL1" i="3" s="1"/>
  <c r="AN1" i="3" s="1"/>
  <c r="AP1" i="3" s="1"/>
  <c r="AR1" i="3" s="1"/>
  <c r="C26" i="9" l="1"/>
  <c r="B18" i="8"/>
  <c r="C18" i="8"/>
  <c r="C35" i="9"/>
  <c r="B35" i="7"/>
  <c r="B26" i="7"/>
  <c r="C26" i="7"/>
  <c r="C18" i="7"/>
  <c r="B26" i="5"/>
  <c r="C26" i="5"/>
  <c r="B35" i="5"/>
  <c r="C35" i="5"/>
  <c r="B26" i="4"/>
  <c r="C26" i="4"/>
  <c r="C18" i="4"/>
  <c r="B18" i="4"/>
  <c r="P22" i="3"/>
  <c r="Q22" i="3"/>
</calcChain>
</file>

<file path=xl/sharedStrings.xml><?xml version="1.0" encoding="utf-8"?>
<sst xmlns="http://schemas.openxmlformats.org/spreadsheetml/2006/main" count="717" uniqueCount="114">
  <si>
    <t>1)</t>
  </si>
  <si>
    <t>Moneda Funcional</t>
  </si>
  <si>
    <t>Total de Ingresos</t>
  </si>
  <si>
    <t>Ganancia/Pérdida (utilidad)</t>
  </si>
  <si>
    <t>2)</t>
  </si>
  <si>
    <t>Activos Corrientes</t>
  </si>
  <si>
    <t>Activos Totales</t>
  </si>
  <si>
    <t>Patrimonio</t>
  </si>
  <si>
    <t>3)</t>
  </si>
  <si>
    <t>EBITDA anual</t>
  </si>
  <si>
    <t>4)</t>
  </si>
  <si>
    <t>ROA</t>
  </si>
  <si>
    <t>5)</t>
  </si>
  <si>
    <t>ROE</t>
  </si>
  <si>
    <t>6)</t>
  </si>
  <si>
    <t>Leverage o Endeudamiento</t>
  </si>
  <si>
    <t>7)</t>
  </si>
  <si>
    <t>Días de venta en rotación de cuentas por cobrar</t>
  </si>
  <si>
    <t>8)</t>
  </si>
  <si>
    <t>Quick Ratio o Test Ácido</t>
  </si>
  <si>
    <t>9)</t>
  </si>
  <si>
    <t>Cobertura de intereses</t>
  </si>
  <si>
    <t>10)</t>
  </si>
  <si>
    <t>Empresa Auditora</t>
  </si>
  <si>
    <t>Nombre del Auditor</t>
  </si>
  <si>
    <t>11)</t>
  </si>
  <si>
    <t>Nemotécnico de la acción en la BDS</t>
  </si>
  <si>
    <t>Valor de la acción</t>
  </si>
  <si>
    <t>Relación Precio/Utilidad</t>
  </si>
  <si>
    <t>Razón Valor Bolsa/Libro</t>
  </si>
  <si>
    <t>12) Explique operación financiera o de inversión relevante que se mencione en la carta del presidente del directorio a los accionistas y comente porque la considera de interés</t>
  </si>
  <si>
    <t>SQM</t>
  </si>
  <si>
    <t>ENTEL</t>
  </si>
  <si>
    <t>LATAM AIRLINES</t>
  </si>
  <si>
    <t>EMPRESAS COPEC S.A.</t>
  </si>
  <si>
    <t>EMPRESAS CMPC S.A.</t>
  </si>
  <si>
    <t>COMPANIA CERVECERIAS UNIDAS</t>
  </si>
  <si>
    <t>SUD AMERICANA DE VAPORES S.A.</t>
  </si>
  <si>
    <t>CAP S.A.</t>
  </si>
  <si>
    <t>ENEL CHILE S.A.</t>
  </si>
  <si>
    <t>COLBUN S.A.</t>
  </si>
  <si>
    <t>PARQUE ARAUCO S.A.</t>
  </si>
  <si>
    <t>VIÑA CONCHA Y TORO S.A.</t>
  </si>
  <si>
    <t>EMBOTELLADORA ANDINA S.A.</t>
  </si>
  <si>
    <t>AGUAS ANDINAS S.A.</t>
  </si>
  <si>
    <t>AES ANDES S.A.</t>
  </si>
  <si>
    <t>PLAZA S.A.</t>
  </si>
  <si>
    <t>ENGIE ENERGIA CHILE S.A.</t>
  </si>
  <si>
    <t>SONDA S.A.</t>
  </si>
  <si>
    <t>AGUAS METROPOLITANAS S.A.</t>
  </si>
  <si>
    <t>SMU S.A.</t>
  </si>
  <si>
    <t>PAZ CORP S.A.</t>
  </si>
  <si>
    <t>SIGDO KOPPERS S.A.</t>
  </si>
  <si>
    <t>PWC</t>
  </si>
  <si>
    <t>Renzo Corona</t>
  </si>
  <si>
    <t>MUS$</t>
  </si>
  <si>
    <t>*notas 27 (EAT+T+D+A+I)</t>
  </si>
  <si>
    <t>USD</t>
  </si>
  <si>
    <t>AC-Inv-actximp</t>
  </si>
  <si>
    <t>DEPRECIACIÓN</t>
  </si>
  <si>
    <t>AMORTIZACIÓN</t>
  </si>
  <si>
    <t>INTERESES</t>
  </si>
  <si>
    <t>IMPUESTOS</t>
  </si>
  <si>
    <t>Inventario + AC menos líquido</t>
  </si>
  <si>
    <t>Pasivo Corriente</t>
  </si>
  <si>
    <t>SQM S.A.</t>
  </si>
  <si>
    <t>Inventario</t>
  </si>
  <si>
    <t>Datos obtenidos de Análisis razonados, Memoria</t>
  </si>
  <si>
    <t>2023, Bolsa de Santiago y Estados Financieros</t>
  </si>
  <si>
    <t>consolidados de SQM</t>
  </si>
  <si>
    <t>Depreciación y Amortización</t>
  </si>
  <si>
    <t>1) 2 Pts</t>
  </si>
  <si>
    <t>2) 2 Pts</t>
  </si>
  <si>
    <t>4) 2 pts</t>
  </si>
  <si>
    <t>3) 2 Pts</t>
  </si>
  <si>
    <t>Impuestos</t>
  </si>
  <si>
    <t>Intereses</t>
  </si>
  <si>
    <t>Margen de utilidad</t>
  </si>
  <si>
    <t>Intereses Minoritarios</t>
  </si>
  <si>
    <t>5) 2 pts (Amarillo = Necesario para el cálculo)</t>
  </si>
  <si>
    <t>Tax</t>
  </si>
  <si>
    <t>6) 2 pts</t>
  </si>
  <si>
    <t>7) 2 pts</t>
  </si>
  <si>
    <t>8) 2 pts</t>
  </si>
  <si>
    <t>9) 2 pts</t>
  </si>
  <si>
    <t>10) 2 pts</t>
  </si>
  <si>
    <t>Pasivos Corrientes</t>
  </si>
  <si>
    <t>Cogs</t>
  </si>
  <si>
    <t>Inventory Turnover</t>
  </si>
  <si>
    <t>Días de inventario</t>
  </si>
  <si>
    <t>MMUS$</t>
  </si>
  <si>
    <t>COPEC S.A</t>
  </si>
  <si>
    <t>consolidados de COPEC S.A</t>
  </si>
  <si>
    <t>CMPC S.A</t>
  </si>
  <si>
    <t>consolidados de CMPC S.A</t>
  </si>
  <si>
    <t>MCLP$</t>
  </si>
  <si>
    <t>CCU S.A</t>
  </si>
  <si>
    <t>consolidados de CCU S.A</t>
  </si>
  <si>
    <t>Sudamericana</t>
  </si>
  <si>
    <t>consolidados de Sudamericana S.A</t>
  </si>
  <si>
    <t>NA</t>
  </si>
  <si>
    <t>CAP S.A</t>
  </si>
  <si>
    <t>consolidados de CAP S.A</t>
  </si>
  <si>
    <t>MCLPS$</t>
  </si>
  <si>
    <t>ENEL S.A</t>
  </si>
  <si>
    <t>consolidados de ENEL S.A</t>
  </si>
  <si>
    <t>LATAM S.A</t>
  </si>
  <si>
    <t>consolidados de LATAM S.A</t>
  </si>
  <si>
    <t>COLBUN S.A</t>
  </si>
  <si>
    <t>consolidados de COLBUN S.A</t>
  </si>
  <si>
    <t>PARQUE ARAUCO S.A</t>
  </si>
  <si>
    <t>consolidados de PARQUE ARAUCO S.A</t>
  </si>
  <si>
    <t>CONCHA Y TORO S.A</t>
  </si>
  <si>
    <t>consolidados de CONCHA Y TORO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</si>
</sst>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 &quot;$&quot;* #,##0_ ;_ &quot;$&quot;* \-#,##0_ ;_ &quot;$&quot;* &quot;-&quot;_ ;_ @_ "/>
    <numFmt numFmtId="41" formatCode="_ * #,##0_ ;_ * \-#,##0_ ;_ * &quot;-&quot;_ ;_ @_ "/>
    <numFmt numFmtId="164" formatCode="_ &quot;$&quot;* #,##0.0_ ;_ &quot;$&quot;* \-#,##0.0_ ;_ &quot;$&quot;* &quot;-&quot;_ ;_ @_ "/>
    <numFmt numFmtId="165" formatCode="_ &quot;$&quot;* #,##0.00_ ;_ &quot;$&quot;* \-#,##0.00_ ;_ &quot;$&quot;* &quot;-&quot;_ ;_ @_ "/>
    <numFmt numFmtId="166" formatCode="_ * #,##0.0_ ;_ * \-#,##0.0_ ;_ * &quot;-&quot;_ ;_ @_ "/>
    <numFmt numFmtId="167" formatCode="_ * #,##0.00_ ;_ * \-#,##0.00_ ;_ * &quot;-&quot;_ ;_ @_ "/>
    <numFmt numFmtId="168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76">
    <xf numFmtId="0" fontId="0" fillId="0" borderId="0" xfId="0"/>
    <xf numFmtId="0" fontId="0" fillId="2" borderId="0" xfId="0" applyFill="1"/>
    <xf numFmtId="0" fontId="0" fillId="2" borderId="4" xfId="0" applyFill="1" applyBorder="1"/>
    <xf numFmtId="0" fontId="0" fillId="2" borderId="5" xfId="0" applyFill="1" applyBorder="1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42" fontId="0" fillId="0" borderId="0" xfId="1" applyFont="1" applyBorder="1"/>
    <xf numFmtId="42" fontId="0" fillId="0" borderId="0" xfId="0" applyNumberFormat="1"/>
    <xf numFmtId="10" fontId="0" fillId="0" borderId="0" xfId="2" applyNumberFormat="1" applyFont="1" applyBorder="1"/>
    <xf numFmtId="2" fontId="0" fillId="0" borderId="0" xfId="0" applyNumberFormat="1"/>
    <xf numFmtId="42" fontId="0" fillId="0" borderId="4" xfId="1" applyFont="1" applyBorder="1"/>
    <xf numFmtId="42" fontId="0" fillId="0" borderId="5" xfId="1" applyFont="1" applyBorder="1"/>
    <xf numFmtId="42" fontId="0" fillId="0" borderId="4" xfId="0" applyNumberFormat="1" applyBorder="1"/>
    <xf numFmtId="42" fontId="0" fillId="0" borderId="5" xfId="0" applyNumberFormat="1" applyBorder="1"/>
    <xf numFmtId="10" fontId="0" fillId="0" borderId="4" xfId="2" applyNumberFormat="1" applyFont="1" applyBorder="1"/>
    <xf numFmtId="10" fontId="0" fillId="0" borderId="5" xfId="2" applyNumberFormat="1" applyFont="1" applyBorder="1"/>
    <xf numFmtId="0" fontId="0" fillId="4" borderId="0" xfId="0" applyFill="1"/>
    <xf numFmtId="0" fontId="0" fillId="5" borderId="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164" fontId="0" fillId="0" borderId="4" xfId="1" applyNumberFormat="1" applyFont="1" applyBorder="1"/>
    <xf numFmtId="164" fontId="0" fillId="0" borderId="5" xfId="1" applyNumberFormat="1" applyFont="1" applyBorder="1"/>
    <xf numFmtId="164" fontId="0" fillId="2" borderId="4" xfId="0" applyNumberFormat="1" applyFill="1" applyBorder="1"/>
    <xf numFmtId="164" fontId="0" fillId="2" borderId="5" xfId="0" applyNumberFormat="1" applyFill="1" applyBorder="1"/>
    <xf numFmtId="164" fontId="0" fillId="0" borderId="4" xfId="0" applyNumberFormat="1" applyBorder="1"/>
    <xf numFmtId="164" fontId="0" fillId="0" borderId="5" xfId="0" applyNumberFormat="1" applyBorder="1"/>
    <xf numFmtId="0" fontId="0" fillId="2" borderId="10" xfId="0" applyFill="1" applyBorder="1"/>
    <xf numFmtId="0" fontId="0" fillId="0" borderId="10" xfId="0" applyBorder="1"/>
    <xf numFmtId="0" fontId="0" fillId="4" borderId="5" xfId="0" applyFill="1" applyBorder="1"/>
    <xf numFmtId="10" fontId="0" fillId="0" borderId="0" xfId="2" applyNumberFormat="1" applyFont="1" applyFill="1"/>
    <xf numFmtId="10" fontId="0" fillId="0" borderId="5" xfId="2" applyNumberFormat="1" applyFont="1" applyFill="1" applyBorder="1"/>
    <xf numFmtId="42" fontId="0" fillId="0" borderId="0" xfId="1" applyFont="1" applyFill="1"/>
    <xf numFmtId="42" fontId="0" fillId="0" borderId="5" xfId="1" applyFont="1" applyFill="1" applyBorder="1"/>
    <xf numFmtId="167" fontId="0" fillId="0" borderId="4" xfId="3" applyNumberFormat="1" applyFont="1" applyBorder="1"/>
    <xf numFmtId="166" fontId="0" fillId="0" borderId="5" xfId="3" applyNumberFormat="1" applyFont="1" applyBorder="1"/>
    <xf numFmtId="167" fontId="0" fillId="0" borderId="5" xfId="3" applyNumberFormat="1" applyFont="1" applyBorder="1"/>
    <xf numFmtId="166" fontId="0" fillId="0" borderId="0" xfId="3" applyNumberFormat="1" applyFont="1" applyBorder="1"/>
    <xf numFmtId="167" fontId="0" fillId="0" borderId="0" xfId="3" applyNumberFormat="1" applyFont="1" applyBorder="1"/>
    <xf numFmtId="164" fontId="0" fillId="0" borderId="0" xfId="1" applyNumberFormat="1" applyFont="1" applyFill="1"/>
    <xf numFmtId="164" fontId="0" fillId="0" borderId="5" xfId="1" applyNumberFormat="1" applyFont="1" applyFill="1" applyBorder="1"/>
    <xf numFmtId="167" fontId="0" fillId="0" borderId="0" xfId="3" applyNumberFormat="1" applyFont="1" applyFill="1"/>
    <xf numFmtId="167" fontId="0" fillId="0" borderId="5" xfId="3" applyNumberFormat="1" applyFont="1" applyFill="1" applyBorder="1"/>
    <xf numFmtId="0" fontId="0" fillId="2" borderId="6" xfId="0" applyFill="1" applyBorder="1"/>
    <xf numFmtId="164" fontId="0" fillId="2" borderId="6" xfId="0" applyNumberFormat="1" applyFill="1" applyBorder="1"/>
    <xf numFmtId="164" fontId="0" fillId="2" borderId="7" xfId="0" applyNumberFormat="1" applyFill="1" applyBorder="1"/>
    <xf numFmtId="3" fontId="0" fillId="0" borderId="0" xfId="0" applyNumberFormat="1"/>
    <xf numFmtId="165" fontId="0" fillId="0" borderId="0" xfId="1" applyNumberFormat="1" applyFont="1" applyFill="1"/>
    <xf numFmtId="42" fontId="0" fillId="0" borderId="0" xfId="1" applyFont="1"/>
    <xf numFmtId="0" fontId="0" fillId="4" borderId="1" xfId="0" applyFill="1" applyBorder="1"/>
    <xf numFmtId="42" fontId="0" fillId="4" borderId="1" xfId="1" applyFont="1" applyFill="1" applyBorder="1"/>
    <xf numFmtId="9" fontId="0" fillId="4" borderId="1" xfId="2" applyFont="1" applyFill="1" applyBorder="1"/>
    <xf numFmtId="0" fontId="0" fillId="0" borderId="0" xfId="2" applyNumberFormat="1" applyFont="1" applyBorder="1"/>
    <xf numFmtId="168" fontId="0" fillId="0" borderId="4" xfId="2" applyNumberFormat="1" applyFont="1" applyBorder="1"/>
    <xf numFmtId="168" fontId="0" fillId="0" borderId="5" xfId="2" applyNumberFormat="1" applyFont="1" applyBorder="1"/>
    <xf numFmtId="41" fontId="0" fillId="0" borderId="5" xfId="3" applyFont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3" borderId="8" xfId="0" applyFill="1" applyBorder="1" applyAlignment="1">
      <alignment horizontal="center"/>
    </xf>
  </cellXfs>
  <cellStyles count="4">
    <cellStyle name="Millares [0]" xfId="3" builtinId="6"/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553F9D2F-C567-4951-AE27-93352FC0C783}"/>
                </a:ext>
              </a:extLst>
            </xdr:cNvPr>
            <xdr:cNvSpPr txBox="1"/>
          </xdr:nvSpPr>
          <xdr:spPr>
            <a:xfrm>
              <a:off x="4862512" y="37957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553F9D2F-C567-4951-AE27-93352FC0C783}"/>
                </a:ext>
              </a:extLst>
            </xdr:cNvPr>
            <xdr:cNvSpPr txBox="1"/>
          </xdr:nvSpPr>
          <xdr:spPr>
            <a:xfrm>
              <a:off x="4862512" y="37957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40F547AC-B443-4709-B8DE-5C13760272EF}"/>
                </a:ext>
              </a:extLst>
            </xdr:cNvPr>
            <xdr:cNvSpPr txBox="1"/>
          </xdr:nvSpPr>
          <xdr:spPr>
            <a:xfrm>
              <a:off x="4857750" y="44005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40F547AC-B443-4709-B8DE-5C13760272EF}"/>
                </a:ext>
              </a:extLst>
            </xdr:cNvPr>
            <xdr:cNvSpPr txBox="1"/>
          </xdr:nvSpPr>
          <xdr:spPr>
            <a:xfrm>
              <a:off x="4857750" y="44005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6ECE72E8-F1BB-4625-BDBB-C8F0CC61AE10}"/>
                </a:ext>
              </a:extLst>
            </xdr:cNvPr>
            <xdr:cNvSpPr txBox="1"/>
          </xdr:nvSpPr>
          <xdr:spPr>
            <a:xfrm>
              <a:off x="4743450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6ECE72E8-F1BB-4625-BDBB-C8F0CC61AE10}"/>
                </a:ext>
              </a:extLst>
            </xdr:cNvPr>
            <xdr:cNvSpPr txBox="1"/>
          </xdr:nvSpPr>
          <xdr:spPr>
            <a:xfrm>
              <a:off x="4743450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3FAC926A-80AA-4ADB-BB0B-AB268D9748D4}"/>
                </a:ext>
              </a:extLst>
            </xdr:cNvPr>
            <xdr:cNvSpPr txBox="1"/>
          </xdr:nvSpPr>
          <xdr:spPr>
            <a:xfrm>
              <a:off x="5095875" y="7162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3FAC926A-80AA-4ADB-BB0B-AB268D9748D4}"/>
                </a:ext>
              </a:extLst>
            </xdr:cNvPr>
            <xdr:cNvSpPr txBox="1"/>
          </xdr:nvSpPr>
          <xdr:spPr>
            <a:xfrm>
              <a:off x="5095875" y="7162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BADC8FD0-C868-4628-9AE5-DC7E5AD69680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BADC8FD0-C868-4628-9AE5-DC7E5AD69680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5CA3DE27-43A3-4F04-856B-C81422602020}"/>
                </a:ext>
              </a:extLst>
            </xdr:cNvPr>
            <xdr:cNvSpPr txBox="1"/>
          </xdr:nvSpPr>
          <xdr:spPr>
            <a:xfrm>
              <a:off x="4876800" y="49625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5CA3DE27-43A3-4F04-856B-C81422602020}"/>
                </a:ext>
              </a:extLst>
            </xdr:cNvPr>
            <xdr:cNvSpPr txBox="1"/>
          </xdr:nvSpPr>
          <xdr:spPr>
            <a:xfrm>
              <a:off x="4876800" y="49625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F7014F8B-6D9E-435F-BB65-8EF0B51FC231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F7014F8B-6D9E-435F-BB65-8EF0B51FC231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8886DAA6-1903-413A-AA27-594D7C315773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1" name="CuadroTexto 10">
              <a:extLst>
                <a:ext uri="{FF2B5EF4-FFF2-40B4-BE49-F238E27FC236}">
                  <a16:creationId xmlns:a16="http://schemas.microsoft.com/office/drawing/2014/main" id="{8886DAA6-1903-413A-AA27-594D7C315773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48A9C21C-7DDB-4566-A69E-7012239ECA31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2" name="CuadroTexto 11">
              <a:extLst>
                <a:ext uri="{FF2B5EF4-FFF2-40B4-BE49-F238E27FC236}">
                  <a16:creationId xmlns:a16="http://schemas.microsoft.com/office/drawing/2014/main" id="{48A9C21C-7DDB-4566-A69E-7012239ECA31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2B32EE35-42EC-44EC-830D-662460928C67}"/>
                </a:ext>
              </a:extLst>
            </xdr:cNvPr>
            <xdr:cNvSpPr txBox="1"/>
          </xdr:nvSpPr>
          <xdr:spPr>
            <a:xfrm>
              <a:off x="54244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2B32EE35-42EC-44EC-830D-662460928C67}"/>
                </a:ext>
              </a:extLst>
            </xdr:cNvPr>
            <xdr:cNvSpPr txBox="1"/>
          </xdr:nvSpPr>
          <xdr:spPr>
            <a:xfrm>
              <a:off x="54244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84641CA9-511F-4898-8560-07F54805622A}"/>
                </a:ext>
              </a:extLst>
            </xdr:cNvPr>
            <xdr:cNvSpPr txBox="1"/>
          </xdr:nvSpPr>
          <xdr:spPr>
            <a:xfrm>
              <a:off x="54197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84641CA9-511F-4898-8560-07F54805622A}"/>
                </a:ext>
              </a:extLst>
            </xdr:cNvPr>
            <xdr:cNvSpPr txBox="1"/>
          </xdr:nvSpPr>
          <xdr:spPr>
            <a:xfrm>
              <a:off x="54197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30A1EECB-E7BB-4712-8DB7-65B4AAD5A838}"/>
                </a:ext>
              </a:extLst>
            </xdr:cNvPr>
            <xdr:cNvSpPr txBox="1"/>
          </xdr:nvSpPr>
          <xdr:spPr>
            <a:xfrm>
              <a:off x="53054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30A1EECB-E7BB-4712-8DB7-65B4AAD5A838}"/>
                </a:ext>
              </a:extLst>
            </xdr:cNvPr>
            <xdr:cNvSpPr txBox="1"/>
          </xdr:nvSpPr>
          <xdr:spPr>
            <a:xfrm>
              <a:off x="53054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DEB0FA2F-3E08-48D6-BE63-E76C967D1E9C}"/>
                </a:ext>
              </a:extLst>
            </xdr:cNvPr>
            <xdr:cNvSpPr txBox="1"/>
          </xdr:nvSpPr>
          <xdr:spPr>
            <a:xfrm>
              <a:off x="54387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DEB0FA2F-3E08-48D6-BE63-E76C967D1E9C}"/>
                </a:ext>
              </a:extLst>
            </xdr:cNvPr>
            <xdr:cNvSpPr txBox="1"/>
          </xdr:nvSpPr>
          <xdr:spPr>
            <a:xfrm>
              <a:off x="54387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D6105130-B5BF-4D07-B3F9-8E96EC73B4A8}"/>
                </a:ext>
              </a:extLst>
            </xdr:cNvPr>
            <xdr:cNvSpPr txBox="1"/>
          </xdr:nvSpPr>
          <xdr:spPr>
            <a:xfrm>
              <a:off x="53911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D6105130-B5BF-4D07-B3F9-8E96EC73B4A8}"/>
                </a:ext>
              </a:extLst>
            </xdr:cNvPr>
            <xdr:cNvSpPr txBox="1"/>
          </xdr:nvSpPr>
          <xdr:spPr>
            <a:xfrm>
              <a:off x="53911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E3379BB5-B773-4688-AA82-8F05E667F91F}"/>
                </a:ext>
              </a:extLst>
            </xdr:cNvPr>
            <xdr:cNvSpPr txBox="1"/>
          </xdr:nvSpPr>
          <xdr:spPr>
            <a:xfrm>
              <a:off x="54387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E3379BB5-B773-4688-AA82-8F05E667F91F}"/>
                </a:ext>
              </a:extLst>
            </xdr:cNvPr>
            <xdr:cNvSpPr txBox="1"/>
          </xdr:nvSpPr>
          <xdr:spPr>
            <a:xfrm>
              <a:off x="54387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E6117DCA-5D41-4E2E-AF10-636F95CF9C09}"/>
                </a:ext>
              </a:extLst>
            </xdr:cNvPr>
            <xdr:cNvSpPr txBox="1"/>
          </xdr:nvSpPr>
          <xdr:spPr>
            <a:xfrm>
              <a:off x="55245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E6117DCA-5D41-4E2E-AF10-636F95CF9C09}"/>
                </a:ext>
              </a:extLst>
            </xdr:cNvPr>
            <xdr:cNvSpPr txBox="1"/>
          </xdr:nvSpPr>
          <xdr:spPr>
            <a:xfrm>
              <a:off x="55245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381638F8-1D30-4266-A04B-54436C0A4450}"/>
                </a:ext>
              </a:extLst>
            </xdr:cNvPr>
            <xdr:cNvSpPr txBox="1"/>
          </xdr:nvSpPr>
          <xdr:spPr>
            <a:xfrm>
              <a:off x="54768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381638F8-1D30-4266-A04B-54436C0A4450}"/>
                </a:ext>
              </a:extLst>
            </xdr:cNvPr>
            <xdr:cNvSpPr txBox="1"/>
          </xdr:nvSpPr>
          <xdr:spPr>
            <a:xfrm>
              <a:off x="54768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B7B9A516-9926-4304-9BA0-69D83AACB4FD}"/>
                </a:ext>
              </a:extLst>
            </xdr:cNvPr>
            <xdr:cNvSpPr txBox="1"/>
          </xdr:nvSpPr>
          <xdr:spPr>
            <a:xfrm>
              <a:off x="82772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B7B9A516-9926-4304-9BA0-69D83AACB4FD}"/>
                </a:ext>
              </a:extLst>
            </xdr:cNvPr>
            <xdr:cNvSpPr txBox="1"/>
          </xdr:nvSpPr>
          <xdr:spPr>
            <a:xfrm>
              <a:off x="82772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  <xdr:twoCellAnchor>
    <xdr:from>
      <xdr:col>10</xdr:col>
      <xdr:colOff>424483</xdr:colOff>
      <xdr:row>36</xdr:row>
      <xdr:rowOff>41413</xdr:rowOff>
    </xdr:from>
    <xdr:to>
      <xdr:col>12</xdr:col>
      <xdr:colOff>359050</xdr:colOff>
      <xdr:row>41</xdr:row>
      <xdr:rowOff>43069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36F80A0C-60D7-4A45-A6F6-8DA06C5DFCE4}"/>
            </a:ext>
          </a:extLst>
        </xdr:cNvPr>
        <xdr:cNvSpPr txBox="1"/>
      </xdr:nvSpPr>
      <xdr:spPr>
        <a:xfrm>
          <a:off x="11098695" y="6750326"/>
          <a:ext cx="1466850" cy="933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Dada la naturaleza de la empresa (Inmobiliaria), no poseen inventarios.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2542B309-B3AF-486A-AAC4-924C7ED27513}"/>
                </a:ext>
              </a:extLst>
            </xdr:cNvPr>
            <xdr:cNvSpPr txBox="1"/>
          </xdr:nvSpPr>
          <xdr:spPr>
            <a:xfrm>
              <a:off x="54244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2542B309-B3AF-486A-AAC4-924C7ED27513}"/>
                </a:ext>
              </a:extLst>
            </xdr:cNvPr>
            <xdr:cNvSpPr txBox="1"/>
          </xdr:nvSpPr>
          <xdr:spPr>
            <a:xfrm>
              <a:off x="54244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478FD3D-7E02-4E23-BFFB-8D0F8B52B70E}"/>
                </a:ext>
              </a:extLst>
            </xdr:cNvPr>
            <xdr:cNvSpPr txBox="1"/>
          </xdr:nvSpPr>
          <xdr:spPr>
            <a:xfrm>
              <a:off x="54197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478FD3D-7E02-4E23-BFFB-8D0F8B52B70E}"/>
                </a:ext>
              </a:extLst>
            </xdr:cNvPr>
            <xdr:cNvSpPr txBox="1"/>
          </xdr:nvSpPr>
          <xdr:spPr>
            <a:xfrm>
              <a:off x="54197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513B75F3-CCC3-41F1-8A87-39153B19C089}"/>
                </a:ext>
              </a:extLst>
            </xdr:cNvPr>
            <xdr:cNvSpPr txBox="1"/>
          </xdr:nvSpPr>
          <xdr:spPr>
            <a:xfrm>
              <a:off x="53054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513B75F3-CCC3-41F1-8A87-39153B19C089}"/>
                </a:ext>
              </a:extLst>
            </xdr:cNvPr>
            <xdr:cNvSpPr txBox="1"/>
          </xdr:nvSpPr>
          <xdr:spPr>
            <a:xfrm>
              <a:off x="53054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FA040832-DCBD-4D1C-B5EA-BCAAD6F0DBF3}"/>
                </a:ext>
              </a:extLst>
            </xdr:cNvPr>
            <xdr:cNvSpPr txBox="1"/>
          </xdr:nvSpPr>
          <xdr:spPr>
            <a:xfrm>
              <a:off x="54387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FA040832-DCBD-4D1C-B5EA-BCAAD6F0DBF3}"/>
                </a:ext>
              </a:extLst>
            </xdr:cNvPr>
            <xdr:cNvSpPr txBox="1"/>
          </xdr:nvSpPr>
          <xdr:spPr>
            <a:xfrm>
              <a:off x="54387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EA869941-77D4-4C3D-B91B-60E6EE4904C2}"/>
                </a:ext>
              </a:extLst>
            </xdr:cNvPr>
            <xdr:cNvSpPr txBox="1"/>
          </xdr:nvSpPr>
          <xdr:spPr>
            <a:xfrm>
              <a:off x="53911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EA869941-77D4-4C3D-B91B-60E6EE4904C2}"/>
                </a:ext>
              </a:extLst>
            </xdr:cNvPr>
            <xdr:cNvSpPr txBox="1"/>
          </xdr:nvSpPr>
          <xdr:spPr>
            <a:xfrm>
              <a:off x="53911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75B8AD59-0F71-441E-8E10-121E15698713}"/>
                </a:ext>
              </a:extLst>
            </xdr:cNvPr>
            <xdr:cNvSpPr txBox="1"/>
          </xdr:nvSpPr>
          <xdr:spPr>
            <a:xfrm>
              <a:off x="54387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75B8AD59-0F71-441E-8E10-121E15698713}"/>
                </a:ext>
              </a:extLst>
            </xdr:cNvPr>
            <xdr:cNvSpPr txBox="1"/>
          </xdr:nvSpPr>
          <xdr:spPr>
            <a:xfrm>
              <a:off x="54387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36220F95-D636-480E-BDE5-E6AAB81E415E}"/>
                </a:ext>
              </a:extLst>
            </xdr:cNvPr>
            <xdr:cNvSpPr txBox="1"/>
          </xdr:nvSpPr>
          <xdr:spPr>
            <a:xfrm>
              <a:off x="55245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36220F95-D636-480E-BDE5-E6AAB81E415E}"/>
                </a:ext>
              </a:extLst>
            </xdr:cNvPr>
            <xdr:cNvSpPr txBox="1"/>
          </xdr:nvSpPr>
          <xdr:spPr>
            <a:xfrm>
              <a:off x="55245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FB9C42DC-6A2E-481A-B582-BDAAA7862F9B}"/>
                </a:ext>
              </a:extLst>
            </xdr:cNvPr>
            <xdr:cNvSpPr txBox="1"/>
          </xdr:nvSpPr>
          <xdr:spPr>
            <a:xfrm>
              <a:off x="54768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FB9C42DC-6A2E-481A-B582-BDAAA7862F9B}"/>
                </a:ext>
              </a:extLst>
            </xdr:cNvPr>
            <xdr:cNvSpPr txBox="1"/>
          </xdr:nvSpPr>
          <xdr:spPr>
            <a:xfrm>
              <a:off x="54768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822CE79-62F8-4404-8EA4-C1C760317945}"/>
                </a:ext>
              </a:extLst>
            </xdr:cNvPr>
            <xdr:cNvSpPr txBox="1"/>
          </xdr:nvSpPr>
          <xdr:spPr>
            <a:xfrm>
              <a:off x="82772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2822CE79-62F8-4404-8EA4-C1C760317945}"/>
                </a:ext>
              </a:extLst>
            </xdr:cNvPr>
            <xdr:cNvSpPr txBox="1"/>
          </xdr:nvSpPr>
          <xdr:spPr>
            <a:xfrm>
              <a:off x="82772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15854290-4BE7-4AFD-9A2B-F3A94AAC4AF6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15854290-4BE7-4AFD-9A2B-F3A94AAC4AF6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E0CF3866-440D-438A-8BF8-10F03197F2EC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E0CF3866-440D-438A-8BF8-10F03197F2EC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1464AFD-144E-432F-9BAB-A111086BE108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41464AFD-144E-432F-9BAB-A111086BE108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E8CD9C8F-8A78-4A9C-A3D1-238B982BDBCD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E8CD9C8F-8A78-4A9C-A3D1-238B982BDBCD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BF9B168E-EDED-4661-BEBA-2553E6019995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BF9B168E-EDED-4661-BEBA-2553E6019995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81FC037A-3AEA-458C-9189-EA9988D9D629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81FC037A-3AEA-458C-9189-EA9988D9D629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7F2D94D3-FEA4-45FB-89EB-843FFC8D56DD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7F2D94D3-FEA4-45FB-89EB-843FFC8D56DD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F43D407-9D76-4C43-B96D-7499F4D703D0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F43D407-9D76-4C43-B96D-7499F4D703D0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CA83F375-0D6A-4CC0-8F23-59A90CBF6E31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CA83F375-0D6A-4CC0-8F23-59A90CBF6E31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  <xdr:twoCellAnchor>
    <xdr:from>
      <xdr:col>3</xdr:col>
      <xdr:colOff>276225</xdr:colOff>
      <xdr:row>2</xdr:row>
      <xdr:rowOff>161925</xdr:rowOff>
    </xdr:from>
    <xdr:to>
      <xdr:col>8</xdr:col>
      <xdr:colOff>123825</xdr:colOff>
      <xdr:row>5</xdr:row>
      <xdr:rowOff>180975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2BD86B83-F68B-29D8-5E42-CED3DB3D1108}"/>
            </a:ext>
          </a:extLst>
        </xdr:cNvPr>
        <xdr:cNvSpPr txBox="1"/>
      </xdr:nvSpPr>
      <xdr:spPr>
        <a:xfrm>
          <a:off x="5219700" y="542925"/>
          <a:ext cx="3686175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Si coloca las cifras en MUS$</a:t>
          </a:r>
          <a:r>
            <a:rPr lang="es-CL" sz="1100" baseline="0"/>
            <a:t> (3 cifras más), también considerar bueno, siempre y cuando sea consistente.</a:t>
          </a:r>
          <a:endParaRPr lang="es-C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6D9C6C94-955C-44E8-98A1-3B1B4FDEEF28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6D9C6C94-955C-44E8-98A1-3B1B4FDEEF28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C03FE46-F07B-44C0-A2BB-BC2DD5DCB969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C03FE46-F07B-44C0-A2BB-BC2DD5DCB969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942F17FE-9F41-4184-9EE4-0E6D43ECB3C7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942F17FE-9F41-4184-9EE4-0E6D43ECB3C7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4AF5E52D-C741-47E4-A47D-42B0DE89264B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4AF5E52D-C741-47E4-A47D-42B0DE89264B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1ACC75C5-4FC1-43C2-AFF6-1CF8A23105A3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1ACC75C5-4FC1-43C2-AFF6-1CF8A23105A3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D65D72EC-1FD3-4E44-9DA5-03A0821EB10F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D65D72EC-1FD3-4E44-9DA5-03A0821EB10F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87CFC1EA-D360-4A94-A33D-CD7A561C07CC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87CFC1EA-D360-4A94-A33D-CD7A561C07CC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892B52C3-E1EF-4077-87FF-3AEB3183BDA2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892B52C3-E1EF-4077-87FF-3AEB3183BDA2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7D07AA5B-C0A5-416B-A212-A515538AD484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7D07AA5B-C0A5-416B-A212-A515538AD484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10640B5-6EB8-4A1B-8E33-AA349BD768EB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D10640B5-6EB8-4A1B-8E33-AA349BD768EB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47DF7F0-036A-4EAC-A4BC-24DCF6A28BBC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147DF7F0-036A-4EAC-A4BC-24DCF6A28BBC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340DBB5-0E86-4F59-84A9-73540CDD6A54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A340DBB5-0E86-4F59-84A9-73540CDD6A54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38A1AC2A-B78C-4BBF-BE18-9811C80B1F8A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38A1AC2A-B78C-4BBF-BE18-9811C80B1F8A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F59DA2A8-F2D6-45E0-859C-B7DF3ECB0D31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F59DA2A8-F2D6-45E0-859C-B7DF3ECB0D31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8B8C7A83-1EDB-4E8F-A5E8-A3E4CF0F133B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8B8C7A83-1EDB-4E8F-A5E8-A3E4CF0F133B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4839BE8B-DBA1-415B-B356-43FE9BF428D0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4839BE8B-DBA1-415B-B356-43FE9BF428D0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B39BA111-C7CF-416F-9284-2FF538DD6D5F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B39BA111-C7CF-416F-9284-2FF538DD6D5F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1A33420C-431A-4FE9-B979-D93746BC393B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1A33420C-431A-4FE9-B979-D93746BC393B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  <xdr:twoCellAnchor>
    <xdr:from>
      <xdr:col>3</xdr:col>
      <xdr:colOff>209550</xdr:colOff>
      <xdr:row>9</xdr:row>
      <xdr:rowOff>47624</xdr:rowOff>
    </xdr:from>
    <xdr:to>
      <xdr:col>7</xdr:col>
      <xdr:colOff>419100</xdr:colOff>
      <xdr:row>14</xdr:row>
      <xdr:rowOff>171449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43503F59-D755-3308-A344-5D63755F785B}"/>
            </a:ext>
          </a:extLst>
        </xdr:cNvPr>
        <xdr:cNvSpPr txBox="1"/>
      </xdr:nvSpPr>
      <xdr:spPr>
        <a:xfrm>
          <a:off x="5267325" y="1762124"/>
          <a:ext cx="3286125" cy="1076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Aquí podrían haber colocado los $15,267,255 positivos, pero luego deberian restarlos en la fórmula del</a:t>
          </a:r>
          <a:r>
            <a:rPr lang="es-CL" sz="1100" baseline="0"/>
            <a:t> EBITDA. Al mismo tiempo, deberían sumar la tasa impositiva en la fórmula del ROA para poder ser consistente con los signos.</a:t>
          </a:r>
          <a:endParaRPr lang="es-C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242887</xdr:colOff>
      <xdr:row>24</xdr:row>
      <xdr:rowOff>23812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3652637D-5259-4E62-BE6A-4BD332C94C0E}"/>
                </a:ext>
              </a:extLst>
            </xdr:cNvPr>
            <xdr:cNvSpPr txBox="1"/>
          </xdr:nvSpPr>
          <xdr:spPr>
            <a:xfrm>
              <a:off x="5186362" y="45958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3652637D-5259-4E62-BE6A-4BD332C94C0E}"/>
                </a:ext>
              </a:extLst>
            </xdr:cNvPr>
            <xdr:cNvSpPr txBox="1"/>
          </xdr:nvSpPr>
          <xdr:spPr>
            <a:xfrm>
              <a:off x="5186362" y="45958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9E6F40D9-853D-4574-9234-0897E88E3689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9E6F40D9-853D-4574-9234-0897E88E3689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70F5CBFA-0EBA-4F4B-B303-8D9DF72D816C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70F5CBFA-0EBA-4F4B-B303-8D9DF72D816C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7334B916-3B18-460D-B4C1-41BB59DB704E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7334B916-3B18-460D-B4C1-41BB59DB704E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C1A59360-494F-4C03-8311-5CCAB95C5534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C1A59360-494F-4C03-8311-5CCAB95C5534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F861EF7E-B9F0-4C79-85F5-4568AEEDC472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F861EF7E-B9F0-4C79-85F5-4568AEEDC472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5</xdr:col>
      <xdr:colOff>247650</xdr:colOff>
      <xdr:row>19</xdr:row>
      <xdr:rowOff>133350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4D139614-0DA7-4F7F-8510-8FAB6D8B71BA}"/>
                </a:ext>
              </a:extLst>
            </xdr:cNvPr>
            <xdr:cNvSpPr txBox="1"/>
          </xdr:nvSpPr>
          <xdr:spPr>
            <a:xfrm>
              <a:off x="6743700" y="37528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4D139614-0DA7-4F7F-8510-8FAB6D8B71BA}"/>
                </a:ext>
              </a:extLst>
            </xdr:cNvPr>
            <xdr:cNvSpPr txBox="1"/>
          </xdr:nvSpPr>
          <xdr:spPr>
            <a:xfrm>
              <a:off x="6743700" y="37528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8BD1B5A-E97F-4696-9390-9D841EB9023E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8BD1B5A-E97F-4696-9390-9D841EB9023E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916ADDC6-F4F9-4198-8A0D-6FC196E7707A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916ADDC6-F4F9-4198-8A0D-6FC196E7707A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  <xdr:twoCellAnchor>
    <xdr:from>
      <xdr:col>3</xdr:col>
      <xdr:colOff>133350</xdr:colOff>
      <xdr:row>0</xdr:row>
      <xdr:rowOff>28575</xdr:rowOff>
    </xdr:from>
    <xdr:to>
      <xdr:col>7</xdr:col>
      <xdr:colOff>742950</xdr:colOff>
      <xdr:row>3</xdr:row>
      <xdr:rowOff>47625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DBF9EADD-088D-40D5-93DD-B9EAAB862AE1}"/>
            </a:ext>
          </a:extLst>
        </xdr:cNvPr>
        <xdr:cNvSpPr txBox="1"/>
      </xdr:nvSpPr>
      <xdr:spPr>
        <a:xfrm>
          <a:off x="5076825" y="28575"/>
          <a:ext cx="3686175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Si coloca las cifras en MMUS$</a:t>
          </a:r>
          <a:r>
            <a:rPr lang="es-CL" sz="1100" baseline="0"/>
            <a:t> (3 cifras menos), también considerar bueno, siempre y cuando sea consistente.</a:t>
          </a:r>
          <a:endParaRPr lang="es-CL" sz="1100"/>
        </a:p>
      </xdr:txBody>
    </xdr:sp>
    <xdr:clientData/>
  </xdr:twoCellAnchor>
  <xdr:twoCellAnchor>
    <xdr:from>
      <xdr:col>5</xdr:col>
      <xdr:colOff>390525</xdr:colOff>
      <xdr:row>4</xdr:row>
      <xdr:rowOff>85725</xdr:rowOff>
    </xdr:from>
    <xdr:to>
      <xdr:col>10</xdr:col>
      <xdr:colOff>219075</xdr:colOff>
      <xdr:row>8</xdr:row>
      <xdr:rowOff>142875</xdr:rowOff>
    </xdr:to>
    <xdr:sp macro="" textlink="">
      <xdr:nvSpPr>
        <xdr:cNvPr id="12" name="CuadroTexto 11">
          <a:extLst>
            <a:ext uri="{FF2B5EF4-FFF2-40B4-BE49-F238E27FC236}">
              <a16:creationId xmlns:a16="http://schemas.microsoft.com/office/drawing/2014/main" id="{AF2996BB-3A68-D147-744A-F168C6AF4FBE}"/>
            </a:ext>
          </a:extLst>
        </xdr:cNvPr>
        <xdr:cNvSpPr txBox="1"/>
      </xdr:nvSpPr>
      <xdr:spPr>
        <a:xfrm>
          <a:off x="6886575" y="847725"/>
          <a:ext cx="36385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Notemos que, la sudamericana no tiene ingresos propios, si no que estos se dan por su subsidiaria alemana. Al</a:t>
          </a:r>
          <a:r>
            <a:rPr lang="es-CL" sz="1100" baseline="0"/>
            <a:t> lado de las columnas respectivas se colocarán dichos ingresos. Considerar bueno cualquiera de los 2 métodos.</a:t>
          </a:r>
          <a:endParaRPr lang="es-CL" sz="1100"/>
        </a:p>
      </xdr:txBody>
    </xdr:sp>
    <xdr:clientData/>
  </xdr:twoCellAnchor>
  <xdr:twoCellAnchor>
    <xdr:from>
      <xdr:col>10</xdr:col>
      <xdr:colOff>466725</xdr:colOff>
      <xdr:row>36</xdr:row>
      <xdr:rowOff>19050</xdr:rowOff>
    </xdr:from>
    <xdr:to>
      <xdr:col>12</xdr:col>
      <xdr:colOff>409575</xdr:colOff>
      <xdr:row>41</xdr:row>
      <xdr:rowOff>0</xdr:rowOff>
    </xdr:to>
    <xdr:sp macro="" textlink="">
      <xdr:nvSpPr>
        <xdr:cNvPr id="13" name="CuadroTexto 12">
          <a:extLst>
            <a:ext uri="{FF2B5EF4-FFF2-40B4-BE49-F238E27FC236}">
              <a16:creationId xmlns:a16="http://schemas.microsoft.com/office/drawing/2014/main" id="{EC81B691-A985-F19C-F86B-B61D752F4960}"/>
            </a:ext>
          </a:extLst>
        </xdr:cNvPr>
        <xdr:cNvSpPr txBox="1"/>
      </xdr:nvSpPr>
      <xdr:spPr>
        <a:xfrm>
          <a:off x="10772775" y="6877050"/>
          <a:ext cx="1466850" cy="933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Dada la naturaleza de la empresa (Transportes), no poseen inventarios.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20F0793-3B00-4265-A28A-2877A970493D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20F0793-3B00-4265-A28A-2877A970493D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CFAF8631-AE25-4A85-95F7-2B305A391CA9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CFAF8631-AE25-4A85-95F7-2B305A391CA9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0571B180-6B95-4804-A852-93441BE474B1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0571B180-6B95-4804-A852-93441BE474B1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7A57A05C-F916-44E7-87B4-08DA21CF3E43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7A57A05C-F916-44E7-87B4-08DA21CF3E43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382D88AD-35F3-4665-92EC-3AB30F11B33F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382D88AD-35F3-4665-92EC-3AB30F11B33F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9DB47D98-02F0-42A0-B309-0375B4792E41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9DB47D98-02F0-42A0-B309-0375B4792E41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8F107F15-7BCB-448F-9324-CAFEF91B46AE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8F107F15-7BCB-448F-9324-CAFEF91B46AE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1E0EC542-2C4F-4CA6-BAAC-ADA8BD5C8493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1E0EC542-2C4F-4CA6-BAAC-ADA8BD5C8493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1FEC0C6F-486C-4608-9EF3-E50ED746ED02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1FEC0C6F-486C-4608-9EF3-E50ED746ED02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BFE8B25-469E-4A3D-B814-8166493DE527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7BFE8B25-469E-4A3D-B814-8166493DE527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4DBB6646-E0F1-43B9-B6B1-2776F9756800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4DBB6646-E0F1-43B9-B6B1-2776F9756800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7521B6A0-3129-4389-94FB-A66BD9BC1DAC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7521B6A0-3129-4389-94FB-A66BD9BC1DAC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2E2D3005-7DE5-4414-85EC-D177269BDA80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2E2D3005-7DE5-4414-85EC-D177269BDA80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F1360A3E-E43E-4ABF-B68A-9A5B302FAD5A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F1360A3E-E43E-4ABF-B68A-9A5B302FAD5A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9668EC-87A1-4A22-84B7-EEDFFA0D0DA3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009668EC-87A1-4A22-84B7-EEDFFA0D0DA3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3AD69872-3492-4D75-8BC9-D18DDC91E417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3AD69872-3492-4D75-8BC9-D18DDC91E417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5D78454-61EE-4EA5-80D0-7DD1050F0A80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95D78454-61EE-4EA5-80D0-7DD1050F0A80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8663BA0E-ADCB-43BF-A5FC-6D13DFE28BCA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8663BA0E-ADCB-43BF-A5FC-6D13DFE28BCA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  <xdr:twoCellAnchor>
    <xdr:from>
      <xdr:col>3</xdr:col>
      <xdr:colOff>114300</xdr:colOff>
      <xdr:row>8</xdr:row>
      <xdr:rowOff>161925</xdr:rowOff>
    </xdr:from>
    <xdr:to>
      <xdr:col>8</xdr:col>
      <xdr:colOff>266700</xdr:colOff>
      <xdr:row>14</xdr:row>
      <xdr:rowOff>180975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A09BBCB2-E8E8-476D-9D72-73A732A1188C}"/>
            </a:ext>
          </a:extLst>
        </xdr:cNvPr>
        <xdr:cNvSpPr txBox="1"/>
      </xdr:nvSpPr>
      <xdr:spPr>
        <a:xfrm>
          <a:off x="5172075" y="1685925"/>
          <a:ext cx="3990975" cy="1162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Aquí los</a:t>
          </a:r>
          <a:r>
            <a:rPr lang="es-CL" sz="1100" baseline="0"/>
            <a:t> impuestos se presentan negativos para ser consistentes con la regla de signos. Esto pues, la compañia tuvo ingresos y no gastos por impuestos. Podrían haberlo colocado positivos</a:t>
          </a:r>
          <a:r>
            <a:rPr lang="es-CL" sz="1100"/>
            <a:t>, pero luego deberian restarlos en la fórmula del</a:t>
          </a:r>
          <a:r>
            <a:rPr lang="es-CL" sz="1100" baseline="0"/>
            <a:t> EBITDA. Al mismo tiempo, deberían sumar la tasa impositiva en la fórmula del ROA para poder ser consistente con los signos.</a:t>
          </a:r>
          <a:endParaRPr lang="es-CL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1CB4698-941D-4728-AEEB-7F8C0897F300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01CB4698-941D-4728-AEEB-7F8C0897F300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231CBBE-96DE-46E8-AF3D-F463317684DA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A231CBBE-96DE-46E8-AF3D-F463317684DA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081A45F4-E2B3-449D-BB59-67FC76DB3E16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081A45F4-E2B3-449D-BB59-67FC76DB3E16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47D87EB1-7F1A-47B3-B8DE-A5F1EAABADC2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47D87EB1-7F1A-47B3-B8DE-A5F1EAABADC2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CB7F77E9-3907-4878-9D7D-E76C49998D67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CB7F77E9-3907-4878-9D7D-E76C49998D67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8A59DFBD-CC18-4954-A977-33230353AFAC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8A59DFBD-CC18-4954-A977-33230353AFAC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07BCF9B3-53DA-462C-B809-9DAF15E27DD5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07BCF9B3-53DA-462C-B809-9DAF15E27DD5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F8E112A0-DA6F-42FB-989F-E8B4F2372106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F8E112A0-DA6F-42FB-989F-E8B4F2372106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45C4423D-7F90-432F-B5E2-EB228B508D23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45C4423D-7F90-432F-B5E2-EB228B508D23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138112</xdr:colOff>
      <xdr:row>22</xdr:row>
      <xdr:rowOff>176212</xdr:rowOff>
    </xdr:from>
    <xdr:ext cx="4674357" cy="3570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65E7193-E0F7-4F92-82CF-87D0C4783E9B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[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d>
                          <m:dPr>
                            <m:ctrlPr>
                              <a:rPr lang="es-CL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1−</m:t>
                            </m:r>
                            <m:r>
                              <a:rPr lang="es-CL" sz="1100" b="0" i="1">
                                <a:latin typeface="Cambria Math" panose="02040503050406030204" pitchFamily="18" charset="0"/>
                              </a:rPr>
                              <m:t>𝑇𝑎𝑥</m:t>
                            </m:r>
                          </m:e>
                        </m:d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𝑚𝑖𝑛𝑜𝑟𝑖𝑡𝑎𝑟𝑖𝑜𝑠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]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65E7193-E0F7-4F92-82CF-87D0C4783E9B}"/>
                </a:ext>
              </a:extLst>
            </xdr:cNvPr>
            <xdr:cNvSpPr txBox="1"/>
          </xdr:nvSpPr>
          <xdr:spPr>
            <a:xfrm>
              <a:off x="5081587" y="4367212"/>
              <a:ext cx="4674357" cy="3570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𝑅𝑂𝐴=([𝐼𝑛𝑔𝑟𝑒𝑠𝑜𝑠 𝑁𝑒𝑡𝑜𝑠+(1−𝑇𝑎𝑥)∗𝐼𝑛𝑡𝑒𝑟𝑒𝑠𝑒𝑠+𝑖𝑛𝑡𝑒𝑟𝑒𝑠𝑒𝑠 𝑚𝑖𝑛𝑜𝑟𝑖𝑡𝑎𝑟𝑖𝑜𝑠])/(𝑇𝑜𝑡𝑎𝑙 𝑑𝑒 𝐴𝑐𝑡𝑖𝑣𝑜𝑠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28</xdr:row>
      <xdr:rowOff>19050</xdr:rowOff>
    </xdr:from>
    <xdr:ext cx="3221138" cy="35035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9DC6C50-FE5F-4A43-A2F6-09F6B87F718F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𝑅𝑂𝐸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𝐷𝑖𝑣𝑖𝑑𝑒𝑛𝑑𝑜𝑠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𝑝𝑟𝑒𝑓𝑒𝑟𝑒𝑛𝑡𝑒𝑠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𝐶𝑎𝑝𝑖𝑡𝑎𝑙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𝑐𝑜𝑚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ú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3" name="CuadroTexto 2">
              <a:extLst>
                <a:ext uri="{FF2B5EF4-FFF2-40B4-BE49-F238E27FC236}">
                  <a16:creationId xmlns:a16="http://schemas.microsoft.com/office/drawing/2014/main" id="{B9DC6C50-FE5F-4A43-A2F6-09F6B87F718F}"/>
                </a:ext>
              </a:extLst>
            </xdr:cNvPr>
            <xdr:cNvSpPr txBox="1"/>
          </xdr:nvSpPr>
          <xdr:spPr>
            <a:xfrm>
              <a:off x="5076825" y="5353050"/>
              <a:ext cx="3221138" cy="35035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𝑅𝑂𝐸=(𝐼𝑛𝑔𝑟𝑒𝑠𝑜𝑠 𝑁𝑒𝑡𝑜𝑠 −𝐷𝑖𝑣𝑖𝑑𝑒𝑛𝑑𝑜𝑠 𝑝𝑟𝑒𝑓𝑒𝑟𝑒𝑛𝑡𝑒𝑠 )/(𝐶𝑎𝑝𝑖𝑡𝑎𝑙 𝑐𝑜𝑚ú𝑛 𝑝𝑟𝑜𝑚𝑒𝑑𝑖𝑜)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19050</xdr:colOff>
      <xdr:row>15</xdr:row>
      <xdr:rowOff>95250</xdr:rowOff>
    </xdr:from>
    <xdr:ext cx="5534720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99EDC5F3-D07E-4E26-8D13-78C1AE1C5978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𝐸𝐵𝐼𝑇𝐷𝐴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𝐼𝑛𝑔𝑟𝑒𝑠𝑜𝑠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𝑁𝑒𝑡𝑜𝑠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𝐼𝑛𝑡𝑒𝑟𝑒𝑠𝑡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𝐼𝑚𝑝𝑢𝑒𝑠𝑡𝑜𝑠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𝐷𝑒𝑝𝑟𝑒𝑐𝑖𝑎𝑐𝑖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ó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𝑛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+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𝐴𝑚𝑜𝑟𝑡𝑖𝑧𝑎𝑐𝑖𝑜𝑛𝑒𝑠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99EDC5F3-D07E-4E26-8D13-78C1AE1C5978}"/>
                </a:ext>
              </a:extLst>
            </xdr:cNvPr>
            <xdr:cNvSpPr txBox="1"/>
          </xdr:nvSpPr>
          <xdr:spPr>
            <a:xfrm>
              <a:off x="4962525" y="2952750"/>
              <a:ext cx="5534720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𝐸𝐵𝐼𝑇𝐷𝐴=𝐼𝑛𝑔𝑟𝑒𝑠𝑜𝑠 𝑁𝑒𝑡𝑜𝑠+𝐼𝑛𝑡𝑒𝑟𝑒𝑠𝑡+𝐼𝑚𝑝𝑢𝑒𝑠𝑡𝑜𝑠+𝐷𝑒𝑝𝑟𝑒𝑐𝑖𝑎𝑐𝑖ó𝑛+𝐴𝑚𝑜𝑟𝑡𝑖𝑧𝑎𝑐𝑖𝑜𝑛𝑒𝑠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43</xdr:row>
      <xdr:rowOff>114300</xdr:rowOff>
    </xdr:from>
    <xdr:ext cx="3090974" cy="32149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D81E514-FF58-4E39-8D7D-C05FCCC973B3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𝑄𝑢𝑖𝑐𝑘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𝑐𝑜𝑟𝑟𝑖𝑒𝑛𝑡𝑒𝑠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𝐼𝑛𝑣𝑒𝑛𝑡𝑎𝑟𝑖𝑜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𝑃𝑎𝑠𝑖𝑣𝑜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𝐶𝑜𝑟𝑟𝑖𝑒𝑛𝑡𝑒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0D81E514-FF58-4E39-8D7D-C05FCCC973B3}"/>
                </a:ext>
              </a:extLst>
            </xdr:cNvPr>
            <xdr:cNvSpPr txBox="1"/>
          </xdr:nvSpPr>
          <xdr:spPr>
            <a:xfrm>
              <a:off x="5095875" y="8305800"/>
              <a:ext cx="3090974" cy="3214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𝑄𝑢𝑖𝑐𝑘 𝑅𝑎𝑡𝑖𝑜=(𝐴𝑐𝑡𝑖𝑣𝑜𝑠 𝑐𝑜𝑟𝑟𝑖𝑒𝑛𝑡𝑒𝑠 −𝐼𝑛𝑣𝑒𝑛𝑡𝑎𝑟𝑖𝑜)/(𝑃𝑎𝑠𝑖𝑣𝑜 𝐶𝑜𝑟𝑟𝑖𝑒𝑛𝑡𝑒)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104775</xdr:colOff>
      <xdr:row>34</xdr:row>
      <xdr:rowOff>28575</xdr:rowOff>
    </xdr:from>
    <xdr:ext cx="4872296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0E51276D-9A35-466D-8CED-02286FB54B0E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𝐼𝐶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𝐼𝑛𝑔𝑟𝑒𝑠𝑜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𝑁𝑒𝑡𝑜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+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𝑖𝑚𝑝𝑢𝑒𝑡𝑜𝑠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𝑐𝑜𝑟𝑝𝑜𝑟𝑎𝑡𝑖𝑣𝑜𝑠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𝐺𝑎𝑠𝑡𝑜𝑠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𝑑𝑒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𝑖𝑛𝑡𝑒𝑟𝑒𝑠𝑒𝑠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0E51276D-9A35-466D-8CED-02286FB54B0E}"/>
                </a:ext>
              </a:extLst>
            </xdr:cNvPr>
            <xdr:cNvSpPr txBox="1"/>
          </xdr:nvSpPr>
          <xdr:spPr>
            <a:xfrm>
              <a:off x="5048250" y="6505575"/>
              <a:ext cx="4872296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𝐼𝐶=(𝐼𝑛𝑔𝑟𝑒𝑠𝑜 𝑁𝑒𝑡𝑜+𝐺𝑎𝑠𝑡𝑜𝑠 𝑑𝑒 𝑖𝑛𝑡𝑒𝑟𝑒𝑠𝑒𝑠+𝐺𝑎𝑠𝑡𝑜𝑠 𝑑𝑒 𝑖𝑚𝑝𝑢𝑒𝑡𝑜𝑠 𝑐𝑜𝑟𝑝𝑜𝑟𝑎𝑡𝑖𝑣𝑜𝑠)/(𝐺𝑎𝑠𝑡𝑜𝑠 𝑑𝑒 𝑖𝑛𝑡𝑒𝑟𝑒𝑠𝑒𝑠)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3</xdr:col>
      <xdr:colOff>152400</xdr:colOff>
      <xdr:row>31</xdr:row>
      <xdr:rowOff>9525</xdr:rowOff>
    </xdr:from>
    <xdr:ext cx="2726387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9CA224F3-B7BD-4DE1-A264-6F77BD805602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𝐿𝑒𝑣𝑒𝑟𝑎𝑔𝑒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𝐴𝑐𝑡𝑖𝑣𝑜𝑠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𝑡𝑜𝑡𝑎𝑙𝑒𝑠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−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𝑃𝑎𝑡𝑟𝑖𝑚𝑜𝑛𝑖𝑜</m:t>
                        </m:r>
                      </m:den>
                    </m:f>
                  </m:oMath>
                </m:oMathPara>
              </a14:m>
              <a:endParaRPr lang="es-CL" sz="1100" b="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9CA224F3-B7BD-4DE1-A264-6F77BD805602}"/>
                </a:ext>
              </a:extLst>
            </xdr:cNvPr>
            <xdr:cNvSpPr txBox="1"/>
          </xdr:nvSpPr>
          <xdr:spPr>
            <a:xfrm>
              <a:off x="5095875" y="5915025"/>
              <a:ext cx="2726387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𝐿𝑒𝑣𝑒𝑟𝑎𝑔𝑒=(𝐴𝑐𝑡𝑖𝑣𝑜𝑠 𝑡𝑜𝑡𝑎𝑙𝑒𝑠 −𝑃𝑎𝑡𝑟𝑖𝑚𝑜𝑛𝑖𝑜 )/𝑃𝑎𝑡𝑟𝑖𝑚𝑜𝑛𝑖𝑜</a:t>
              </a:r>
              <a:endParaRPr lang="es-CL" sz="1100" b="0"/>
            </a:p>
          </xdr:txBody>
        </xdr:sp>
      </mc:Fallback>
    </mc:AlternateContent>
    <xdr:clientData/>
  </xdr:oneCellAnchor>
  <xdr:oneCellAnchor>
    <xdr:from>
      <xdr:col>3</xdr:col>
      <xdr:colOff>238125</xdr:colOff>
      <xdr:row>20</xdr:row>
      <xdr:rowOff>57150</xdr:rowOff>
    </xdr:from>
    <xdr:ext cx="292830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3BC19D97-F37D-4AA7-9979-E72FC4295D2B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es-CL" sz="1100" b="0" i="1">
                      <a:latin typeface="Cambria Math" panose="02040503050406030204" pitchFamily="18" charset="0"/>
                    </a:rPr>
                    <m:t>𝑀𝑎𝑟𝑔𝑒𝑛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𝑑𝑒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 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𝑢𝑡𝑖𝑙𝑖𝑑𝑎𝑑</m:t>
                  </m:r>
                  <m:r>
                    <a:rPr lang="es-CL" sz="1100" b="0" i="1">
                      <a:latin typeface="Cambria Math" panose="02040503050406030204" pitchFamily="18" charset="0"/>
                    </a:rPr>
                    <m:t>=</m:t>
                  </m:r>
                </m:oMath>
              </a14:m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3BC19D97-F37D-4AA7-9979-E72FC4295D2B}"/>
                </a:ext>
              </a:extLst>
            </xdr:cNvPr>
            <xdr:cNvSpPr txBox="1"/>
          </xdr:nvSpPr>
          <xdr:spPr>
            <a:xfrm>
              <a:off x="5181600" y="3867150"/>
              <a:ext cx="292830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CL" sz="1100" b="0" i="0">
                  <a:latin typeface="Cambria Math" panose="02040503050406030204" pitchFamily="18" charset="0"/>
                </a:rPr>
                <a:t>𝑀𝑎𝑟𝑔𝑒𝑛 𝑑𝑒 𝑢𝑡𝑖𝑙𝑖𝑑𝑎𝑑=</a:t>
              </a:r>
              <a:r>
                <a:rPr lang="es-CL" sz="1100"/>
                <a:t> Utilidad/Total</a:t>
              </a:r>
              <a:r>
                <a:rPr lang="es-CL" sz="1100" baseline="0"/>
                <a:t> de ingresos</a:t>
              </a:r>
              <a:r>
                <a:rPr lang="es-CL" sz="1100"/>
                <a:t> </a:t>
              </a:r>
            </a:p>
          </xdr:txBody>
        </xdr:sp>
      </mc:Fallback>
    </mc:AlternateContent>
    <xdr:clientData/>
  </xdr:oneCellAnchor>
  <xdr:oneCellAnchor>
    <xdr:from>
      <xdr:col>3</xdr:col>
      <xdr:colOff>190500</xdr:colOff>
      <xdr:row>37</xdr:row>
      <xdr:rowOff>114300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4224FE8E-2EDB-4D5B-AE45-0603410400A3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𝐷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í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𝑎𝑠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𝑑𝑒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𝑖𝑛𝑣𝑒𝑛𝑡𝑎𝑟𝑖𝑜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665</m:t>
                        </m:r>
                      </m:num>
                      <m:den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𝐼𝑛𝑣𝑒𝑛𝑡𝑜𝑟𝑦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𝑡𝑢𝑟𝑛𝑜𝑣𝑒𝑟</m:t>
                        </m:r>
                      </m:den>
                    </m:f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4224FE8E-2EDB-4D5B-AE45-0603410400A3}"/>
                </a:ext>
              </a:extLst>
            </xdr:cNvPr>
            <xdr:cNvSpPr txBox="1"/>
          </xdr:nvSpPr>
          <xdr:spPr>
            <a:xfrm>
              <a:off x="5133975" y="7162800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𝐷í𝑎𝑠 𝑑𝑒 𝑖𝑛𝑣𝑒𝑛𝑡𝑎𝑟𝑖𝑜=665/(𝐼𝑛𝑣𝑒𝑛𝑡𝑜𝑟𝑦 𝑡𝑢𝑟𝑛𝑜𝑣𝑒𝑟)  </a:t>
              </a:r>
              <a:endParaRPr lang="es-CL" sz="1100"/>
            </a:p>
          </xdr:txBody>
        </xdr:sp>
      </mc:Fallback>
    </mc:AlternateContent>
    <xdr:clientData/>
  </xdr:oneCellAnchor>
  <xdr:oneCellAnchor>
    <xdr:from>
      <xdr:col>6</xdr:col>
      <xdr:colOff>676275</xdr:colOff>
      <xdr:row>37</xdr:row>
      <xdr:rowOff>104775</xdr:rowOff>
    </xdr:from>
    <xdr:ext cx="2673361" cy="43815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A62AB68C-48BC-41A6-9B96-D3B8AE4C8D46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CL" sz="1100" b="0" i="1">
                        <a:latin typeface="Cambria Math" panose="02040503050406030204" pitchFamily="18" charset="0"/>
                      </a:rPr>
                      <m:t>𝐼𝑛𝑣𝑒𝑛𝑡𝑜𝑟𝑦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𝑡𝑢𝑟𝑛𝑜𝑣𝑒𝑟</m:t>
                    </m:r>
                    <m:r>
                      <a:rPr lang="es-CL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s-CL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𝐶𝑜𝑔𝑠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es-CL" sz="1100" b="0" i="0">
                            <a:latin typeface="Cambria Math" panose="02040503050406030204" pitchFamily="18" charset="0"/>
                          </a:rPr>
                          <m:t>inventario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CL" sz="1100" b="0" i="1">
                            <a:latin typeface="Cambria Math" panose="02040503050406030204" pitchFamily="18" charset="0"/>
                          </a:rPr>
                          <m:t>𝑝𝑟𝑜𝑚𝑒𝑑𝑖𝑜</m:t>
                        </m:r>
                      </m:den>
                    </m:f>
                  </m:oMath>
                </m:oMathPara>
              </a14:m>
              <a:endParaRPr lang="es-CL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A62AB68C-48BC-41A6-9B96-D3B8AE4C8D46}"/>
                </a:ext>
              </a:extLst>
            </xdr:cNvPr>
            <xdr:cNvSpPr txBox="1"/>
          </xdr:nvSpPr>
          <xdr:spPr>
            <a:xfrm>
              <a:off x="7934325" y="7153275"/>
              <a:ext cx="2673361" cy="43815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:r>
                <a:rPr lang="es-CL" sz="1100" b="0" i="0">
                  <a:latin typeface="Cambria Math" panose="02040503050406030204" pitchFamily="18" charset="0"/>
                </a:rPr>
                <a:t>𝐼𝑛𝑣𝑒𝑛𝑡𝑜𝑟𝑦 𝑡𝑢𝑟𝑛𝑜𝑣𝑒𝑟=𝐶𝑜𝑔𝑠/(inventario 𝑝𝑟𝑜𝑚𝑒𝑑𝑖𝑜)</a:t>
              </a:r>
              <a:endParaRPr lang="es-CL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541EE-73E7-485F-AB92-C9DB056C9682}">
  <dimension ref="A1:C66"/>
  <sheetViews>
    <sheetView topLeftCell="A6" workbookViewId="0">
      <selection activeCell="C25" sqref="C25"/>
    </sheetView>
  </sheetViews>
  <sheetFormatPr baseColWidth="10" defaultRowHeight="15" x14ac:dyDescent="0.25"/>
  <cols>
    <col min="1" max="1" width="46.7109375" style="18" customWidth="1"/>
    <col min="2" max="3" width="13.7109375" style="18" customWidth="1"/>
    <col min="4" max="4" width="11.42578125" style="18"/>
    <col min="5" max="5" width="11.85546875" style="18" bestFit="1" customWidth="1"/>
    <col min="6" max="16384" width="11.42578125" style="18"/>
  </cols>
  <sheetData>
    <row r="1" spans="1:3" x14ac:dyDescent="0.25">
      <c r="A1" s="19" t="s">
        <v>67</v>
      </c>
      <c r="B1" s="56">
        <v>0</v>
      </c>
      <c r="C1" s="57"/>
    </row>
    <row r="2" spans="1:3" x14ac:dyDescent="0.25">
      <c r="A2" s="20" t="s">
        <v>68</v>
      </c>
      <c r="B2" s="58" t="s">
        <v>65</v>
      </c>
      <c r="C2" s="59"/>
    </row>
    <row r="3" spans="1:3" x14ac:dyDescent="0.25">
      <c r="A3" s="20" t="s">
        <v>69</v>
      </c>
      <c r="B3" s="6">
        <v>2023</v>
      </c>
      <c r="C3" s="7">
        <v>2022</v>
      </c>
    </row>
    <row r="4" spans="1:3" x14ac:dyDescent="0.25">
      <c r="A4" s="2" t="s">
        <v>71</v>
      </c>
      <c r="B4" s="2" t="s">
        <v>90</v>
      </c>
      <c r="C4" s="3" t="s">
        <v>90</v>
      </c>
    </row>
    <row r="5" spans="1:3" x14ac:dyDescent="0.25">
      <c r="A5" s="4" t="s">
        <v>1</v>
      </c>
      <c r="B5" s="12" t="s">
        <v>55</v>
      </c>
      <c r="C5" s="13" t="s">
        <v>55</v>
      </c>
    </row>
    <row r="6" spans="1:3" x14ac:dyDescent="0.25">
      <c r="A6" s="4" t="s">
        <v>2</v>
      </c>
      <c r="B6" s="21">
        <v>7467.5</v>
      </c>
      <c r="C6" s="22">
        <v>10710.6</v>
      </c>
    </row>
    <row r="7" spans="1:3" x14ac:dyDescent="0.25">
      <c r="A7" s="4" t="s">
        <v>3</v>
      </c>
      <c r="B7" s="21">
        <v>2019.7</v>
      </c>
      <c r="C7" s="22">
        <v>3914.3</v>
      </c>
    </row>
    <row r="8" spans="1:3" x14ac:dyDescent="0.25">
      <c r="A8" s="4"/>
      <c r="B8" s="60"/>
      <c r="C8" s="61"/>
    </row>
    <row r="9" spans="1:3" x14ac:dyDescent="0.25">
      <c r="A9" s="2" t="s">
        <v>72</v>
      </c>
      <c r="B9" s="2" t="s">
        <v>90</v>
      </c>
      <c r="C9" s="3" t="s">
        <v>90</v>
      </c>
    </row>
    <row r="10" spans="1:3" x14ac:dyDescent="0.25">
      <c r="A10" s="4" t="s">
        <v>5</v>
      </c>
      <c r="B10" s="21">
        <v>5866.1</v>
      </c>
      <c r="C10" s="22">
        <v>6991.5</v>
      </c>
    </row>
    <row r="11" spans="1:3" x14ac:dyDescent="0.25">
      <c r="A11" s="4" t="s">
        <v>6</v>
      </c>
      <c r="B11" s="21">
        <v>11705.6</v>
      </c>
      <c r="C11" s="22">
        <v>10819.1</v>
      </c>
    </row>
    <row r="12" spans="1:3" x14ac:dyDescent="0.25">
      <c r="A12" s="4" t="s">
        <v>7</v>
      </c>
      <c r="B12" s="21">
        <v>5566.9</v>
      </c>
      <c r="C12" s="22">
        <v>4932</v>
      </c>
    </row>
    <row r="13" spans="1:3" x14ac:dyDescent="0.25">
      <c r="A13" s="4"/>
      <c r="B13" s="60"/>
      <c r="C13" s="61"/>
    </row>
    <row r="14" spans="1:3" x14ac:dyDescent="0.25">
      <c r="A14" s="2" t="s">
        <v>74</v>
      </c>
      <c r="B14" s="2" t="s">
        <v>90</v>
      </c>
      <c r="C14" s="3" t="s">
        <v>90</v>
      </c>
    </row>
    <row r="15" spans="1:3" x14ac:dyDescent="0.25">
      <c r="A15" s="4" t="s">
        <v>70</v>
      </c>
      <c r="B15" s="25">
        <v>280.8</v>
      </c>
      <c r="C15" s="26">
        <v>244.5</v>
      </c>
    </row>
    <row r="16" spans="1:3" x14ac:dyDescent="0.25">
      <c r="A16" s="4" t="s">
        <v>75</v>
      </c>
      <c r="B16" s="25">
        <v>787.3</v>
      </c>
      <c r="C16" s="26">
        <v>1572.2</v>
      </c>
    </row>
    <row r="17" spans="1:3" x14ac:dyDescent="0.25">
      <c r="A17" s="4" t="s">
        <v>76</v>
      </c>
      <c r="B17" s="25">
        <f>138.4-122.7</f>
        <v>15.700000000000003</v>
      </c>
      <c r="C17" s="26">
        <f>86.6-47</f>
        <v>39.599999999999994</v>
      </c>
    </row>
    <row r="18" spans="1:3" x14ac:dyDescent="0.25">
      <c r="A18" s="4" t="s">
        <v>9</v>
      </c>
      <c r="B18" s="25">
        <f>B7+B15+B16+B17</f>
        <v>3103.5</v>
      </c>
      <c r="C18" s="26">
        <f>C7+C15+C16+C17</f>
        <v>5770.6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" t="s">
        <v>90</v>
      </c>
      <c r="C20" s="3" t="s">
        <v>90</v>
      </c>
    </row>
    <row r="21" spans="1:3" x14ac:dyDescent="0.25">
      <c r="A21" s="28" t="s">
        <v>77</v>
      </c>
      <c r="B21" s="10">
        <f>B7/B6</f>
        <v>0.27046534984934717</v>
      </c>
      <c r="C21" s="17">
        <f>C7/C6</f>
        <v>0.36546038503912015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" t="s">
        <v>90</v>
      </c>
      <c r="C23" s="3" t="s">
        <v>90</v>
      </c>
    </row>
    <row r="24" spans="1:3" x14ac:dyDescent="0.25">
      <c r="A24" s="29" t="s">
        <v>78</v>
      </c>
      <c r="B24" s="32">
        <v>-7</v>
      </c>
      <c r="C24" s="33">
        <v>-8</v>
      </c>
    </row>
    <row r="25" spans="1:3" x14ac:dyDescent="0.25">
      <c r="A25" s="29" t="s">
        <v>80</v>
      </c>
      <c r="B25" s="30">
        <f>B16/(B7+B16)</f>
        <v>0.28047737798361239</v>
      </c>
      <c r="C25" s="31">
        <f>C16/(C7+C16)</f>
        <v>0.28655791488198307</v>
      </c>
    </row>
    <row r="26" spans="1:3" x14ac:dyDescent="0.25">
      <c r="A26" s="28" t="s">
        <v>11</v>
      </c>
      <c r="B26" s="10">
        <f>((B7+(1-B25)*B17)+B24)/AVERAGE(B11:C11)</f>
        <v>0.1797135149560844</v>
      </c>
      <c r="C26" s="17">
        <f>(C7+(1-C25)*C17+C24)/C11</f>
        <v>0.36366724649653609</v>
      </c>
    </row>
    <row r="27" spans="1:3" x14ac:dyDescent="0.25">
      <c r="B27" s="60"/>
      <c r="C27" s="61"/>
    </row>
    <row r="28" spans="1:3" x14ac:dyDescent="0.25">
      <c r="A28" s="2" t="s">
        <v>81</v>
      </c>
      <c r="B28" s="2" t="s">
        <v>90</v>
      </c>
      <c r="C28" s="3" t="s">
        <v>90</v>
      </c>
    </row>
    <row r="29" spans="1:3" x14ac:dyDescent="0.25">
      <c r="A29" s="4" t="s">
        <v>13</v>
      </c>
      <c r="B29" s="16">
        <f>B7/AVERAGE(B12:C12)</f>
        <v>0.384745068530989</v>
      </c>
      <c r="C29" s="17">
        <f>C7/C12</f>
        <v>0.79365369018653698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" t="s">
        <v>90</v>
      </c>
      <c r="C31" s="3" t="s">
        <v>90</v>
      </c>
    </row>
    <row r="32" spans="1:3" x14ac:dyDescent="0.25">
      <c r="A32" s="4" t="s">
        <v>15</v>
      </c>
      <c r="B32" s="34">
        <f>(B11-B12)/B12</f>
        <v>1.1027142574862134</v>
      </c>
      <c r="C32" s="36">
        <f>(C11-C12)/C12</f>
        <v>1.1936536901865369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" t="s">
        <v>90</v>
      </c>
      <c r="C34" s="3" t="s">
        <v>90</v>
      </c>
    </row>
    <row r="35" spans="1:3" x14ac:dyDescent="0.25">
      <c r="A35" s="28" t="s">
        <v>21</v>
      </c>
      <c r="B35" s="37">
        <f>(B7+B17+B16)/B17</f>
        <v>179.7898089171974</v>
      </c>
      <c r="C35" s="35">
        <f>(C7+C17+C16)/C17</f>
        <v>139.54797979797982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" t="s">
        <v>90</v>
      </c>
      <c r="C37" s="3" t="s">
        <v>90</v>
      </c>
    </row>
    <row r="38" spans="1:3" x14ac:dyDescent="0.25">
      <c r="A38" s="4" t="s">
        <v>66</v>
      </c>
      <c r="B38" s="25">
        <v>1774.6</v>
      </c>
      <c r="C38" s="26">
        <v>1784.3</v>
      </c>
    </row>
    <row r="39" spans="1:3" x14ac:dyDescent="0.25">
      <c r="A39" s="29" t="s">
        <v>87</v>
      </c>
      <c r="B39" s="39">
        <v>4111.7</v>
      </c>
      <c r="C39" s="40">
        <v>4729.5</v>
      </c>
    </row>
    <row r="40" spans="1:3" x14ac:dyDescent="0.25">
      <c r="A40" s="29" t="s">
        <v>88</v>
      </c>
      <c r="B40" s="41">
        <f>B39/AVERAGE(B38:C38)</f>
        <v>2.3106577875186156</v>
      </c>
      <c r="C40" s="42">
        <f>C39/C38</f>
        <v>2.6506192904780588</v>
      </c>
    </row>
    <row r="41" spans="1:3" x14ac:dyDescent="0.25">
      <c r="A41" s="29" t="s">
        <v>89</v>
      </c>
      <c r="B41" s="41">
        <f>365/B40</f>
        <v>157.96367682467104</v>
      </c>
      <c r="C41" s="42">
        <f>365/C40</f>
        <v>137.7036684638968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" t="s">
        <v>90</v>
      </c>
      <c r="C43" s="3" t="s">
        <v>90</v>
      </c>
    </row>
    <row r="44" spans="1:3" x14ac:dyDescent="0.25">
      <c r="A44" s="4" t="s">
        <v>86</v>
      </c>
      <c r="B44" s="25">
        <v>2351.1</v>
      </c>
      <c r="C44" s="26">
        <v>3051.5</v>
      </c>
    </row>
    <row r="45" spans="1:3" x14ac:dyDescent="0.25">
      <c r="A45" s="28" t="s">
        <v>19</v>
      </c>
      <c r="B45" s="38">
        <f>(B10-B38)/B44</f>
        <v>1.7402492450342395</v>
      </c>
      <c r="C45" s="36">
        <f>(C10-C38)/C44</f>
        <v>1.7064394560052432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A48:A66"/>
    <mergeCell ref="B48:C66"/>
    <mergeCell ref="B19:C19"/>
    <mergeCell ref="B22:C22"/>
    <mergeCell ref="B46:C46"/>
    <mergeCell ref="B42:C42"/>
    <mergeCell ref="B30:C30"/>
    <mergeCell ref="B33:C33"/>
    <mergeCell ref="B36:C36"/>
    <mergeCell ref="B1:C1"/>
    <mergeCell ref="B2:C2"/>
    <mergeCell ref="B8:C8"/>
    <mergeCell ref="B13:C13"/>
    <mergeCell ref="B27:C2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852DA-5B38-40F9-B3FA-18747290BB6A}">
  <dimension ref="A1:C66"/>
  <sheetViews>
    <sheetView topLeftCell="A7" zoomScale="92" workbookViewId="0">
      <selection activeCell="J28" sqref="J28"/>
    </sheetView>
  </sheetViews>
  <sheetFormatPr baseColWidth="10" defaultRowHeight="15" x14ac:dyDescent="0.25"/>
  <cols>
    <col min="1" max="1" width="46.7109375" style="18" customWidth="1"/>
    <col min="2" max="3" width="16.28515625" style="18" bestFit="1" customWidth="1"/>
    <col min="4" max="4" width="11.42578125" style="18"/>
    <col min="5" max="5" width="11.85546875" style="18" bestFit="1" customWidth="1"/>
    <col min="6" max="16384" width="11.42578125" style="18"/>
  </cols>
  <sheetData>
    <row r="1" spans="1:3" x14ac:dyDescent="0.25">
      <c r="A1" s="19" t="s">
        <v>67</v>
      </c>
      <c r="B1" s="56">
        <v>0</v>
      </c>
      <c r="C1" s="57"/>
    </row>
    <row r="2" spans="1:3" x14ac:dyDescent="0.25">
      <c r="A2" s="20" t="s">
        <v>68</v>
      </c>
      <c r="B2" s="58" t="s">
        <v>110</v>
      </c>
      <c r="C2" s="59"/>
    </row>
    <row r="3" spans="1:3" x14ac:dyDescent="0.25">
      <c r="A3" s="20" t="s">
        <v>111</v>
      </c>
      <c r="B3" s="6">
        <v>2023</v>
      </c>
      <c r="C3" s="7">
        <v>2022</v>
      </c>
    </row>
    <row r="4" spans="1:3" x14ac:dyDescent="0.25">
      <c r="A4" s="2" t="s">
        <v>71</v>
      </c>
      <c r="B4" s="2" t="s">
        <v>95</v>
      </c>
      <c r="C4" s="3" t="s">
        <v>103</v>
      </c>
    </row>
    <row r="5" spans="1:3" x14ac:dyDescent="0.25">
      <c r="A5" s="4" t="s">
        <v>1</v>
      </c>
      <c r="B5" s="12" t="s">
        <v>95</v>
      </c>
      <c r="C5" s="13" t="s">
        <v>103</v>
      </c>
    </row>
    <row r="6" spans="1:3" x14ac:dyDescent="0.25">
      <c r="A6" s="28" t="s">
        <v>2</v>
      </c>
      <c r="B6" s="48">
        <v>264312607</v>
      </c>
      <c r="C6" s="13">
        <v>231155690</v>
      </c>
    </row>
    <row r="7" spans="1:3" x14ac:dyDescent="0.25">
      <c r="A7" s="4" t="s">
        <v>3</v>
      </c>
      <c r="B7" s="12">
        <v>129114886</v>
      </c>
      <c r="C7" s="13">
        <v>137551973</v>
      </c>
    </row>
    <row r="8" spans="1:3" x14ac:dyDescent="0.25">
      <c r="A8" s="4"/>
      <c r="B8" s="60"/>
      <c r="C8" s="61"/>
    </row>
    <row r="9" spans="1:3" x14ac:dyDescent="0.25">
      <c r="A9" s="2" t="s">
        <v>72</v>
      </c>
      <c r="B9" s="23" t="s">
        <v>95</v>
      </c>
      <c r="C9" s="24" t="s">
        <v>95</v>
      </c>
    </row>
    <row r="10" spans="1:3" x14ac:dyDescent="0.25">
      <c r="A10" s="4" t="s">
        <v>5</v>
      </c>
      <c r="B10" s="12">
        <v>420109692</v>
      </c>
      <c r="C10" s="13">
        <v>316127718</v>
      </c>
    </row>
    <row r="11" spans="1:3" x14ac:dyDescent="0.25">
      <c r="A11" s="4" t="s">
        <v>6</v>
      </c>
      <c r="B11" s="12">
        <v>3482971147</v>
      </c>
      <c r="C11" s="13">
        <v>2938210602</v>
      </c>
    </row>
    <row r="12" spans="1:3" x14ac:dyDescent="0.25">
      <c r="A12" s="4" t="s">
        <v>7</v>
      </c>
      <c r="B12" s="12">
        <v>1630960433</v>
      </c>
      <c r="C12" s="13">
        <v>1356065078</v>
      </c>
    </row>
    <row r="13" spans="1:3" x14ac:dyDescent="0.25">
      <c r="A13" s="4"/>
      <c r="B13" s="60"/>
      <c r="C13" s="61"/>
    </row>
    <row r="14" spans="1:3" x14ac:dyDescent="0.25">
      <c r="A14" s="2" t="s">
        <v>74</v>
      </c>
      <c r="B14" s="23" t="s">
        <v>95</v>
      </c>
      <c r="C14" s="24" t="s">
        <v>95</v>
      </c>
    </row>
    <row r="15" spans="1:3" x14ac:dyDescent="0.25">
      <c r="A15" s="4" t="s">
        <v>70</v>
      </c>
      <c r="B15" s="14">
        <f>1679008+3601930</f>
        <v>5280938</v>
      </c>
      <c r="C15" s="15">
        <f>1451428+3676948</f>
        <v>5128376</v>
      </c>
    </row>
    <row r="16" spans="1:3" x14ac:dyDescent="0.25">
      <c r="A16" s="4" t="s">
        <v>75</v>
      </c>
      <c r="B16" s="14">
        <v>51385259</v>
      </c>
      <c r="C16" s="15">
        <v>45332097</v>
      </c>
    </row>
    <row r="17" spans="1:3" x14ac:dyDescent="0.25">
      <c r="A17" s="4" t="s">
        <v>76</v>
      </c>
      <c r="B17" s="14">
        <f>59234605-30944746</f>
        <v>28289859</v>
      </c>
      <c r="C17" s="15">
        <f>48218849-24079763</f>
        <v>24139086</v>
      </c>
    </row>
    <row r="18" spans="1:3" x14ac:dyDescent="0.25">
      <c r="A18" s="4" t="s">
        <v>9</v>
      </c>
      <c r="B18" s="14">
        <f>B7+B15+B16+B17</f>
        <v>214070942</v>
      </c>
      <c r="C18" s="15">
        <f>C7+C15+C16+C17</f>
        <v>212151532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3" t="s">
        <v>95</v>
      </c>
      <c r="C20" s="24" t="s">
        <v>95</v>
      </c>
    </row>
    <row r="21" spans="1:3" x14ac:dyDescent="0.25">
      <c r="A21" s="28" t="s">
        <v>77</v>
      </c>
      <c r="B21" s="10">
        <f>B7/B6</f>
        <v>0.48849310468191176</v>
      </c>
      <c r="C21" s="17">
        <f>C7/C6</f>
        <v>0.59506202507928752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3" t="s">
        <v>95</v>
      </c>
      <c r="C23" s="24" t="s">
        <v>95</v>
      </c>
    </row>
    <row r="24" spans="1:3" x14ac:dyDescent="0.25">
      <c r="A24" s="29" t="s">
        <v>78</v>
      </c>
      <c r="B24" s="32">
        <v>16769552</v>
      </c>
      <c r="C24" s="33">
        <v>36520338</v>
      </c>
    </row>
    <row r="25" spans="1:3" x14ac:dyDescent="0.25">
      <c r="A25" s="29" t="s">
        <v>80</v>
      </c>
      <c r="B25" s="30">
        <f>B16/(B7+B16)</f>
        <v>0.28468264665382959</v>
      </c>
      <c r="C25" s="31">
        <f>C16/(C7+C16)</f>
        <v>0.24787340417347448</v>
      </c>
    </row>
    <row r="26" spans="1:3" x14ac:dyDescent="0.25">
      <c r="A26" s="28" t="s">
        <v>11</v>
      </c>
      <c r="B26" s="10">
        <f>((B7+(1-B25)*B17)+B24)/AVERAGE(B11:C11)</f>
        <v>5.1741461793161997E-2</v>
      </c>
      <c r="C26" s="17">
        <f>(C7+(1-C25)*C17+C24)/C11</f>
        <v>6.5423478987073555E-2</v>
      </c>
    </row>
    <row r="27" spans="1:3" x14ac:dyDescent="0.25">
      <c r="B27" s="60"/>
      <c r="C27" s="61"/>
    </row>
    <row r="28" spans="1:3" x14ac:dyDescent="0.25">
      <c r="A28" s="2" t="s">
        <v>81</v>
      </c>
      <c r="B28" s="23" t="s">
        <v>95</v>
      </c>
      <c r="C28" s="24" t="s">
        <v>95</v>
      </c>
    </row>
    <row r="29" spans="1:3" x14ac:dyDescent="0.25">
      <c r="A29" s="4" t="s">
        <v>13</v>
      </c>
      <c r="B29" s="16">
        <f>B7/AVERAGE(B12:C12)</f>
        <v>8.6450474242367459E-2</v>
      </c>
      <c r="C29" s="17">
        <f>C7/C12</f>
        <v>0.10143463999741759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3" t="s">
        <v>95</v>
      </c>
      <c r="C31" s="24" t="s">
        <v>95</v>
      </c>
    </row>
    <row r="32" spans="1:3" x14ac:dyDescent="0.25">
      <c r="A32" s="4" t="s">
        <v>15</v>
      </c>
      <c r="B32" s="34">
        <f>(B11-B12)/B12</f>
        <v>1.1355338097279273</v>
      </c>
      <c r="C32" s="36">
        <f>(C11-C12)/C12</f>
        <v>1.1667179913912658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3" t="s">
        <v>95</v>
      </c>
      <c r="C34" s="24" t="s">
        <v>95</v>
      </c>
    </row>
    <row r="35" spans="1:3" x14ac:dyDescent="0.25">
      <c r="A35" s="28" t="s">
        <v>21</v>
      </c>
      <c r="B35" s="37">
        <f>(B7+B17+B16)/B17</f>
        <v>7.3803833380717805</v>
      </c>
      <c r="C35" s="35">
        <f>(C7+C17+C16)/C17</f>
        <v>8.5762632437698763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3" t="s">
        <v>95</v>
      </c>
      <c r="C37" s="24" t="s">
        <v>95</v>
      </c>
    </row>
    <row r="38" spans="1:3" x14ac:dyDescent="0.25">
      <c r="A38" s="4" t="s">
        <v>66</v>
      </c>
      <c r="B38" s="14">
        <v>0</v>
      </c>
      <c r="C38" s="26">
        <v>0</v>
      </c>
    </row>
    <row r="39" spans="1:3" x14ac:dyDescent="0.25">
      <c r="A39" s="29" t="s">
        <v>87</v>
      </c>
      <c r="B39" s="32">
        <v>53309521</v>
      </c>
      <c r="C39" s="33">
        <v>43162809</v>
      </c>
    </row>
    <row r="40" spans="1:3" x14ac:dyDescent="0.25">
      <c r="A40" s="29" t="s">
        <v>88</v>
      </c>
      <c r="B40" s="41" t="e">
        <f>B39/AVERAGE(B38:C38)</f>
        <v>#DIV/0!</v>
      </c>
      <c r="C40" s="42" t="e">
        <f>C39/C38</f>
        <v>#DIV/0!</v>
      </c>
    </row>
    <row r="41" spans="1:3" x14ac:dyDescent="0.25">
      <c r="A41" s="29" t="s">
        <v>89</v>
      </c>
      <c r="B41" s="41" t="e">
        <f>365/B40</f>
        <v>#DIV/0!</v>
      </c>
      <c r="C41" s="42" t="e">
        <f>365/C40</f>
        <v>#DIV/0!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3" t="s">
        <v>95</v>
      </c>
      <c r="C43" s="24" t="s">
        <v>95</v>
      </c>
    </row>
    <row r="44" spans="1:3" x14ac:dyDescent="0.25">
      <c r="A44" s="4" t="s">
        <v>86</v>
      </c>
      <c r="B44" s="25">
        <v>260905891</v>
      </c>
      <c r="C44" s="26">
        <v>191652165</v>
      </c>
    </row>
    <row r="45" spans="1:3" x14ac:dyDescent="0.25">
      <c r="A45" s="28" t="s">
        <v>19</v>
      </c>
      <c r="B45" s="38">
        <f>(B10-B38)/B44</f>
        <v>1.6101962680482367</v>
      </c>
      <c r="C45" s="36">
        <f>(C10-C38)/C44</f>
        <v>1.6494868085627941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B22:C22"/>
    <mergeCell ref="B1:C1"/>
    <mergeCell ref="B2:C2"/>
    <mergeCell ref="B8:C8"/>
    <mergeCell ref="B13:C13"/>
    <mergeCell ref="B19:C19"/>
    <mergeCell ref="A48:A66"/>
    <mergeCell ref="B48:C66"/>
    <mergeCell ref="B27:C27"/>
    <mergeCell ref="B30:C30"/>
    <mergeCell ref="B33:C33"/>
    <mergeCell ref="B36:C36"/>
    <mergeCell ref="B42:C42"/>
    <mergeCell ref="B46:C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165B9-9B68-410E-8C8D-6F48DADDB8EA}">
  <dimension ref="A1:C66"/>
  <sheetViews>
    <sheetView topLeftCell="A9" zoomScale="92" workbookViewId="0">
      <selection activeCell="M36" sqref="M36"/>
    </sheetView>
  </sheetViews>
  <sheetFormatPr baseColWidth="10" defaultRowHeight="15" x14ac:dyDescent="0.25"/>
  <cols>
    <col min="1" max="1" width="46.7109375" style="18" customWidth="1"/>
    <col min="2" max="3" width="16.28515625" style="18" bestFit="1" customWidth="1"/>
    <col min="4" max="4" width="11.42578125" style="18"/>
    <col min="5" max="5" width="11.85546875" style="18" bestFit="1" customWidth="1"/>
    <col min="6" max="16384" width="11.42578125" style="18"/>
  </cols>
  <sheetData>
    <row r="1" spans="1:3" x14ac:dyDescent="0.25">
      <c r="A1" s="19" t="s">
        <v>67</v>
      </c>
      <c r="B1" s="56">
        <v>0</v>
      </c>
      <c r="C1" s="57"/>
    </row>
    <row r="2" spans="1:3" x14ac:dyDescent="0.25">
      <c r="A2" s="20" t="s">
        <v>68</v>
      </c>
      <c r="B2" s="58" t="s">
        <v>112</v>
      </c>
      <c r="C2" s="59"/>
    </row>
    <row r="3" spans="1:3" x14ac:dyDescent="0.25">
      <c r="A3" s="20" t="s">
        <v>113</v>
      </c>
      <c r="B3" s="6">
        <v>2023</v>
      </c>
      <c r="C3" s="7">
        <v>2022</v>
      </c>
    </row>
    <row r="4" spans="1:3" x14ac:dyDescent="0.25">
      <c r="A4" s="2" t="s">
        <v>71</v>
      </c>
      <c r="B4" s="2" t="s">
        <v>95</v>
      </c>
      <c r="C4" s="3" t="s">
        <v>103</v>
      </c>
    </row>
    <row r="5" spans="1:3" x14ac:dyDescent="0.25">
      <c r="A5" s="4" t="s">
        <v>1</v>
      </c>
      <c r="B5" s="12" t="s">
        <v>95</v>
      </c>
      <c r="C5" s="13" t="s">
        <v>103</v>
      </c>
    </row>
    <row r="6" spans="1:3" x14ac:dyDescent="0.25">
      <c r="A6" s="28" t="s">
        <v>2</v>
      </c>
      <c r="B6" s="48">
        <v>837213197</v>
      </c>
      <c r="C6" s="13">
        <v>870581770</v>
      </c>
    </row>
    <row r="7" spans="1:3" x14ac:dyDescent="0.25">
      <c r="A7" s="4" t="s">
        <v>3</v>
      </c>
      <c r="B7" s="12">
        <v>43979040</v>
      </c>
      <c r="C7" s="13">
        <v>88983196</v>
      </c>
    </row>
    <row r="8" spans="1:3" x14ac:dyDescent="0.25">
      <c r="A8" s="4"/>
      <c r="B8" s="60"/>
      <c r="C8" s="61"/>
    </row>
    <row r="9" spans="1:3" x14ac:dyDescent="0.25">
      <c r="A9" s="2" t="s">
        <v>72</v>
      </c>
      <c r="B9" s="23" t="s">
        <v>95</v>
      </c>
      <c r="C9" s="24" t="s">
        <v>95</v>
      </c>
    </row>
    <row r="10" spans="1:3" x14ac:dyDescent="0.25">
      <c r="A10" s="4" t="s">
        <v>5</v>
      </c>
      <c r="B10" s="12">
        <v>821783906</v>
      </c>
      <c r="C10" s="13">
        <v>784435869</v>
      </c>
    </row>
    <row r="11" spans="1:3" x14ac:dyDescent="0.25">
      <c r="A11" s="4" t="s">
        <v>6</v>
      </c>
      <c r="B11" s="12">
        <v>1636537152</v>
      </c>
      <c r="C11" s="13">
        <v>1580181338</v>
      </c>
    </row>
    <row r="12" spans="1:3" x14ac:dyDescent="0.25">
      <c r="A12" s="4" t="s">
        <v>7</v>
      </c>
      <c r="B12" s="12">
        <v>782083877</v>
      </c>
      <c r="C12" s="13">
        <v>764108728</v>
      </c>
    </row>
    <row r="13" spans="1:3" x14ac:dyDescent="0.25">
      <c r="A13" s="4"/>
      <c r="B13" s="60"/>
      <c r="C13" s="61"/>
    </row>
    <row r="14" spans="1:3" x14ac:dyDescent="0.25">
      <c r="A14" s="2" t="s">
        <v>74</v>
      </c>
      <c r="B14" s="23" t="s">
        <v>95</v>
      </c>
      <c r="C14" s="24" t="s">
        <v>95</v>
      </c>
    </row>
    <row r="15" spans="1:3" x14ac:dyDescent="0.25">
      <c r="A15" s="4" t="s">
        <v>70</v>
      </c>
      <c r="B15" s="48">
        <v>30154009</v>
      </c>
      <c r="C15" s="48">
        <v>30354072</v>
      </c>
    </row>
    <row r="16" spans="1:3" x14ac:dyDescent="0.25">
      <c r="A16" s="4" t="s">
        <v>75</v>
      </c>
      <c r="B16" s="14">
        <v>8496776</v>
      </c>
      <c r="C16" s="15">
        <v>12740199</v>
      </c>
    </row>
    <row r="17" spans="1:3" x14ac:dyDescent="0.25">
      <c r="A17" s="4" t="s">
        <v>76</v>
      </c>
      <c r="B17" s="14">
        <f>22067073-3733794</f>
        <v>18333279</v>
      </c>
      <c r="C17" s="15">
        <f>15564182-3521531</f>
        <v>12042651</v>
      </c>
    </row>
    <row r="18" spans="1:3" x14ac:dyDescent="0.25">
      <c r="A18" s="4" t="s">
        <v>9</v>
      </c>
      <c r="B18" s="14">
        <f>B7+B15+B16+B17</f>
        <v>100963104</v>
      </c>
      <c r="C18" s="15">
        <f>C7+C15+C16+C17</f>
        <v>144120118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3" t="s">
        <v>95</v>
      </c>
      <c r="C20" s="24" t="s">
        <v>95</v>
      </c>
    </row>
    <row r="21" spans="1:3" x14ac:dyDescent="0.25">
      <c r="A21" s="28" t="s">
        <v>77</v>
      </c>
      <c r="B21" s="10">
        <f>B7/B6</f>
        <v>5.2530275630616942E-2</v>
      </c>
      <c r="C21" s="17">
        <f>C7/C6</f>
        <v>0.10221118689402375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3" t="s">
        <v>95</v>
      </c>
      <c r="C23" s="24" t="s">
        <v>95</v>
      </c>
    </row>
    <row r="24" spans="1:3" x14ac:dyDescent="0.25">
      <c r="A24" s="29" t="s">
        <v>78</v>
      </c>
      <c r="B24" s="32">
        <v>852753</v>
      </c>
      <c r="C24" s="33">
        <v>1770620</v>
      </c>
    </row>
    <row r="25" spans="1:3" x14ac:dyDescent="0.25">
      <c r="A25" s="29" t="s">
        <v>80</v>
      </c>
      <c r="B25" s="30">
        <f>B16/(B7+B16)</f>
        <v>0.1619179394942615</v>
      </c>
      <c r="C25" s="31">
        <f>C16/(C7+C16)</f>
        <v>0.12524354893974979</v>
      </c>
    </row>
    <row r="26" spans="1:3" x14ac:dyDescent="0.25">
      <c r="A26" s="28" t="s">
        <v>11</v>
      </c>
      <c r="B26" s="10">
        <f>((B7+(1-B25)*B17)+B24)/AVERAGE(B11:C11)</f>
        <v>3.7427325659539816E-2</v>
      </c>
      <c r="C26" s="17">
        <f>(C7+(1-C25)*C17+C24)/C11</f>
        <v>6.4099100662912134E-2</v>
      </c>
    </row>
    <row r="27" spans="1:3" x14ac:dyDescent="0.25">
      <c r="B27" s="60"/>
      <c r="C27" s="61"/>
    </row>
    <row r="28" spans="1:3" x14ac:dyDescent="0.25">
      <c r="A28" s="2" t="s">
        <v>81</v>
      </c>
      <c r="B28" s="23" t="s">
        <v>95</v>
      </c>
      <c r="C28" s="24" t="s">
        <v>95</v>
      </c>
    </row>
    <row r="29" spans="1:3" x14ac:dyDescent="0.25">
      <c r="A29" s="4" t="s">
        <v>13</v>
      </c>
      <c r="B29" s="16">
        <f>B7/AVERAGE(B12:C12)</f>
        <v>5.688688441243709E-2</v>
      </c>
      <c r="C29" s="17">
        <f>C7/C12</f>
        <v>0.11645357884198909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3" t="s">
        <v>95</v>
      </c>
      <c r="C31" s="24" t="s">
        <v>95</v>
      </c>
    </row>
    <row r="32" spans="1:3" x14ac:dyDescent="0.25">
      <c r="A32" s="4" t="s">
        <v>15</v>
      </c>
      <c r="B32" s="34">
        <f>(B11-B12)/B12</f>
        <v>1.0925340620466466</v>
      </c>
      <c r="C32" s="36">
        <f>(C11-C12)/C12</f>
        <v>1.0680058741587886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3" t="s">
        <v>95</v>
      </c>
      <c r="C34" s="24" t="s">
        <v>95</v>
      </c>
    </row>
    <row r="35" spans="1:3" x14ac:dyDescent="0.25">
      <c r="A35" s="28" t="s">
        <v>21</v>
      </c>
      <c r="B35" s="37">
        <f>(B7+B17+B16)/B17</f>
        <v>3.8623257192562224</v>
      </c>
      <c r="C35" s="35">
        <f>(C7+C17+C16)/C17</f>
        <v>9.4469270927140538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3" t="s">
        <v>95</v>
      </c>
      <c r="C37" s="24" t="s">
        <v>95</v>
      </c>
    </row>
    <row r="38" spans="1:3" x14ac:dyDescent="0.25">
      <c r="A38" s="4" t="s">
        <v>66</v>
      </c>
      <c r="B38" s="14">
        <v>425230734</v>
      </c>
      <c r="C38" s="26">
        <v>411139331</v>
      </c>
    </row>
    <row r="39" spans="1:3" x14ac:dyDescent="0.25">
      <c r="A39" s="29" t="s">
        <v>87</v>
      </c>
      <c r="B39" s="32">
        <v>527782376</v>
      </c>
      <c r="C39" s="33">
        <v>528860761</v>
      </c>
    </row>
    <row r="40" spans="1:3" x14ac:dyDescent="0.25">
      <c r="A40" s="29" t="s">
        <v>88</v>
      </c>
      <c r="B40" s="41">
        <f>B39/AVERAGE(B38:C38)</f>
        <v>1.2620785895774498</v>
      </c>
      <c r="C40" s="42">
        <f>C39/C38</f>
        <v>1.2863297697976748</v>
      </c>
    </row>
    <row r="41" spans="1:3" x14ac:dyDescent="0.25">
      <c r="A41" s="29" t="s">
        <v>89</v>
      </c>
      <c r="B41" s="41">
        <f>365/B40</f>
        <v>289.20544490197227</v>
      </c>
      <c r="C41" s="42">
        <f>365/C40</f>
        <v>283.75305350929597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3" t="s">
        <v>95</v>
      </c>
      <c r="C43" s="24" t="s">
        <v>95</v>
      </c>
    </row>
    <row r="44" spans="1:3" x14ac:dyDescent="0.25">
      <c r="A44" s="4" t="s">
        <v>86</v>
      </c>
      <c r="B44" s="25">
        <v>456385261</v>
      </c>
      <c r="C44" s="26">
        <v>442639527</v>
      </c>
    </row>
    <row r="45" spans="1:3" x14ac:dyDescent="0.25">
      <c r="A45" s="28" t="s">
        <v>19</v>
      </c>
      <c r="B45" s="38">
        <f>(B10-B38)/B44</f>
        <v>0.86890004101162244</v>
      </c>
      <c r="C45" s="36">
        <f>(C10-C38)/C44</f>
        <v>0.84334207685885221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B22:C22"/>
    <mergeCell ref="B1:C1"/>
    <mergeCell ref="B2:C2"/>
    <mergeCell ref="B8:C8"/>
    <mergeCell ref="B13:C13"/>
    <mergeCell ref="B19:C19"/>
    <mergeCell ref="A48:A66"/>
    <mergeCell ref="B48:C66"/>
    <mergeCell ref="B27:C27"/>
    <mergeCell ref="B30:C30"/>
    <mergeCell ref="B33:C33"/>
    <mergeCell ref="B36:C36"/>
    <mergeCell ref="B42:C42"/>
    <mergeCell ref="B46:C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ED52B-DA04-4F23-9F34-85656DB22722}">
  <dimension ref="A1:AS55"/>
  <sheetViews>
    <sheetView topLeftCell="A13" workbookViewId="0">
      <pane xSplit="1" topLeftCell="P1" activePane="topRight" state="frozen"/>
      <selection pane="topRight" activeCell="A19" sqref="A19"/>
    </sheetView>
  </sheetViews>
  <sheetFormatPr baseColWidth="10" defaultRowHeight="15" x14ac:dyDescent="0.25"/>
  <cols>
    <col min="1" max="1" width="43.42578125" bestFit="1" customWidth="1"/>
    <col min="2" max="45" width="15.85546875" customWidth="1"/>
  </cols>
  <sheetData>
    <row r="1" spans="1:45" x14ac:dyDescent="0.25">
      <c r="B1" s="56">
        <v>0</v>
      </c>
      <c r="C1" s="57"/>
      <c r="D1" s="56">
        <f>B1+1</f>
        <v>1</v>
      </c>
      <c r="E1" s="57"/>
      <c r="F1" s="56">
        <f>D1+1</f>
        <v>2</v>
      </c>
      <c r="G1" s="75"/>
      <c r="H1" s="56">
        <f>F1+1</f>
        <v>3</v>
      </c>
      <c r="I1" s="57"/>
      <c r="J1" s="56">
        <f>H1+1</f>
        <v>4</v>
      </c>
      <c r="K1" s="57"/>
      <c r="L1" s="56">
        <f>J1+1</f>
        <v>5</v>
      </c>
      <c r="M1" s="57"/>
      <c r="N1" s="56">
        <f>L1+1</f>
        <v>6</v>
      </c>
      <c r="O1" s="57"/>
      <c r="P1" s="56">
        <f>N1+1</f>
        <v>7</v>
      </c>
      <c r="Q1" s="57"/>
      <c r="R1" s="56">
        <f>P1+1</f>
        <v>8</v>
      </c>
      <c r="S1" s="57"/>
      <c r="T1" s="56">
        <f>R1+1</f>
        <v>9</v>
      </c>
      <c r="U1" s="75"/>
      <c r="V1" s="56">
        <f>T1+1</f>
        <v>10</v>
      </c>
      <c r="W1" s="57"/>
      <c r="X1" s="75">
        <f>V1+1</f>
        <v>11</v>
      </c>
      <c r="Y1" s="75"/>
      <c r="Z1" s="56">
        <f>X1+1</f>
        <v>12</v>
      </c>
      <c r="AA1" s="57"/>
      <c r="AB1" s="75">
        <f>Z1+1</f>
        <v>13</v>
      </c>
      <c r="AC1" s="75"/>
      <c r="AD1" s="56">
        <f>AB1+1</f>
        <v>14</v>
      </c>
      <c r="AE1" s="57"/>
      <c r="AF1" s="75">
        <f>AD1+1</f>
        <v>15</v>
      </c>
      <c r="AG1" s="75"/>
      <c r="AH1" s="56">
        <f>AF1+1</f>
        <v>16</v>
      </c>
      <c r="AI1" s="57"/>
      <c r="AJ1" s="75">
        <f>AH1+1</f>
        <v>17</v>
      </c>
      <c r="AK1" s="75"/>
      <c r="AL1" s="56">
        <f>AJ1+1</f>
        <v>18</v>
      </c>
      <c r="AM1" s="57"/>
      <c r="AN1" s="75">
        <f>AL1+1</f>
        <v>19</v>
      </c>
      <c r="AO1" s="75"/>
      <c r="AP1" s="56">
        <f>AN1+1</f>
        <v>20</v>
      </c>
      <c r="AQ1" s="57"/>
      <c r="AR1" s="75">
        <f>AP1+1</f>
        <v>21</v>
      </c>
      <c r="AS1" s="57"/>
    </row>
    <row r="2" spans="1:45" x14ac:dyDescent="0.25">
      <c r="B2" s="58" t="s">
        <v>31</v>
      </c>
      <c r="C2" s="59"/>
      <c r="D2" s="58" t="s">
        <v>34</v>
      </c>
      <c r="E2" s="59"/>
      <c r="F2" s="58" t="s">
        <v>35</v>
      </c>
      <c r="G2" s="69"/>
      <c r="H2" s="58" t="s">
        <v>36</v>
      </c>
      <c r="I2" s="59"/>
      <c r="J2" s="58" t="s">
        <v>37</v>
      </c>
      <c r="K2" s="59"/>
      <c r="L2" s="58" t="s">
        <v>38</v>
      </c>
      <c r="M2" s="59"/>
      <c r="N2" s="58" t="s">
        <v>39</v>
      </c>
      <c r="O2" s="59"/>
      <c r="P2" s="58" t="s">
        <v>33</v>
      </c>
      <c r="Q2" s="59"/>
      <c r="R2" s="58" t="s">
        <v>40</v>
      </c>
      <c r="S2" s="59"/>
      <c r="T2" s="58" t="s">
        <v>41</v>
      </c>
      <c r="U2" s="69"/>
      <c r="V2" s="58" t="s">
        <v>42</v>
      </c>
      <c r="W2" s="59"/>
      <c r="X2" s="69" t="s">
        <v>43</v>
      </c>
      <c r="Y2" s="69"/>
      <c r="Z2" s="58" t="s">
        <v>32</v>
      </c>
      <c r="AA2" s="59"/>
      <c r="AB2" s="69" t="s">
        <v>44</v>
      </c>
      <c r="AC2" s="69"/>
      <c r="AD2" s="58" t="s">
        <v>45</v>
      </c>
      <c r="AE2" s="59"/>
      <c r="AF2" s="69" t="s">
        <v>46</v>
      </c>
      <c r="AG2" s="69"/>
      <c r="AH2" s="58" t="s">
        <v>47</v>
      </c>
      <c r="AI2" s="59"/>
      <c r="AJ2" s="69" t="s">
        <v>48</v>
      </c>
      <c r="AK2" s="69"/>
      <c r="AL2" s="58" t="s">
        <v>49</v>
      </c>
      <c r="AM2" s="59"/>
      <c r="AN2" s="69" t="s">
        <v>50</v>
      </c>
      <c r="AO2" s="69"/>
      <c r="AP2" s="58" t="s">
        <v>51</v>
      </c>
      <c r="AQ2" s="59"/>
      <c r="AR2" s="69" t="s">
        <v>52</v>
      </c>
      <c r="AS2" s="59"/>
    </row>
    <row r="3" spans="1:45" x14ac:dyDescent="0.25">
      <c r="B3" s="6">
        <v>2021</v>
      </c>
      <c r="C3" s="7">
        <v>2020</v>
      </c>
      <c r="D3" s="6">
        <v>2021</v>
      </c>
      <c r="E3" s="7">
        <v>2020</v>
      </c>
      <c r="F3" s="6">
        <v>2021</v>
      </c>
      <c r="G3" s="7">
        <v>2020</v>
      </c>
      <c r="H3" s="6">
        <v>2021</v>
      </c>
      <c r="I3" s="7">
        <v>2020</v>
      </c>
      <c r="J3" s="6">
        <v>2021</v>
      </c>
      <c r="K3" s="7">
        <v>2020</v>
      </c>
      <c r="L3" s="6">
        <v>2021</v>
      </c>
      <c r="M3" s="7">
        <v>2020</v>
      </c>
      <c r="N3" s="6">
        <v>2021</v>
      </c>
      <c r="O3" s="7">
        <v>2020</v>
      </c>
      <c r="P3" s="6">
        <v>2021</v>
      </c>
      <c r="Q3" s="7">
        <v>2020</v>
      </c>
      <c r="R3" s="6">
        <v>2021</v>
      </c>
      <c r="S3" s="7">
        <v>2020</v>
      </c>
      <c r="T3" s="6">
        <v>2021</v>
      </c>
      <c r="U3" s="7">
        <v>2020</v>
      </c>
      <c r="V3" s="6">
        <v>2021</v>
      </c>
      <c r="W3" s="7">
        <v>2020</v>
      </c>
      <c r="X3" s="6">
        <v>2021</v>
      </c>
      <c r="Y3" s="7">
        <v>2020</v>
      </c>
      <c r="Z3" s="6">
        <v>2021</v>
      </c>
      <c r="AA3" s="7">
        <v>2020</v>
      </c>
      <c r="AB3" s="6">
        <v>2021</v>
      </c>
      <c r="AC3" s="7">
        <v>2020</v>
      </c>
      <c r="AD3" s="6">
        <v>2021</v>
      </c>
      <c r="AE3" s="7">
        <v>2020</v>
      </c>
      <c r="AF3" s="6">
        <v>2021</v>
      </c>
      <c r="AG3" s="7">
        <v>2020</v>
      </c>
      <c r="AH3" s="6">
        <v>2021</v>
      </c>
      <c r="AI3" s="7">
        <v>2020</v>
      </c>
      <c r="AJ3" s="6">
        <v>2021</v>
      </c>
      <c r="AK3" s="7">
        <v>2020</v>
      </c>
      <c r="AL3" s="6">
        <v>2021</v>
      </c>
      <c r="AM3" s="7">
        <v>2020</v>
      </c>
      <c r="AN3" s="6">
        <v>2021</v>
      </c>
      <c r="AO3" s="7">
        <v>2020</v>
      </c>
      <c r="AP3" s="6">
        <v>2021</v>
      </c>
      <c r="AQ3" s="7">
        <v>2020</v>
      </c>
      <c r="AR3" s="6">
        <v>2021</v>
      </c>
      <c r="AS3" s="7">
        <v>2020</v>
      </c>
    </row>
    <row r="4" spans="1:45" x14ac:dyDescent="0.25">
      <c r="A4" s="1" t="s">
        <v>0</v>
      </c>
      <c r="B4" s="2"/>
      <c r="C4" s="3"/>
      <c r="D4" s="2"/>
      <c r="E4" s="3"/>
      <c r="F4" s="2"/>
      <c r="G4" s="1"/>
      <c r="H4" s="2"/>
      <c r="I4" s="3"/>
      <c r="J4" s="1"/>
      <c r="K4" s="1"/>
      <c r="L4" s="2"/>
      <c r="M4" s="3"/>
      <c r="N4" s="2"/>
      <c r="O4" s="3"/>
      <c r="P4" s="1"/>
      <c r="Q4" s="1"/>
      <c r="R4" s="2"/>
      <c r="S4" s="3"/>
      <c r="T4" s="1"/>
      <c r="U4" s="1"/>
      <c r="V4" s="2"/>
      <c r="W4" s="3"/>
      <c r="X4" s="1"/>
      <c r="Y4" s="1"/>
      <c r="Z4" s="2"/>
      <c r="AA4" s="3"/>
      <c r="AB4" s="1"/>
      <c r="AC4" s="1"/>
      <c r="AD4" s="2"/>
      <c r="AE4" s="3"/>
      <c r="AF4" s="1"/>
      <c r="AG4" s="1"/>
      <c r="AH4" s="2"/>
      <c r="AI4" s="3"/>
      <c r="AJ4" s="1"/>
      <c r="AK4" s="1"/>
      <c r="AL4" s="2"/>
      <c r="AM4" s="3"/>
      <c r="AN4" s="1"/>
      <c r="AO4" s="1"/>
      <c r="AP4" s="2"/>
      <c r="AQ4" s="3"/>
      <c r="AR4" s="1"/>
      <c r="AS4" s="3"/>
    </row>
    <row r="5" spans="1:45" x14ac:dyDescent="0.25">
      <c r="A5" t="s">
        <v>1</v>
      </c>
      <c r="B5" s="4"/>
      <c r="C5" s="5"/>
      <c r="D5" s="4"/>
      <c r="E5" s="5"/>
      <c r="F5" s="4"/>
      <c r="H5" s="4"/>
      <c r="I5" s="5"/>
      <c r="L5" s="4"/>
      <c r="M5" s="5"/>
      <c r="N5" s="4"/>
      <c r="O5" s="5"/>
      <c r="P5" s="8" t="s">
        <v>57</v>
      </c>
      <c r="Q5" s="8" t="s">
        <v>57</v>
      </c>
      <c r="R5" s="4"/>
      <c r="S5" s="5"/>
      <c r="V5" s="4"/>
      <c r="W5" s="5"/>
      <c r="Z5" s="4"/>
      <c r="AA5" s="5"/>
      <c r="AD5" s="4"/>
      <c r="AE5" s="5"/>
      <c r="AH5" s="4"/>
      <c r="AI5" s="5"/>
      <c r="AL5" s="4"/>
      <c r="AM5" s="5"/>
      <c r="AP5" s="4"/>
      <c r="AQ5" s="5"/>
      <c r="AS5" s="5"/>
    </row>
    <row r="6" spans="1:45" x14ac:dyDescent="0.25">
      <c r="A6" t="s">
        <v>2</v>
      </c>
      <c r="B6" s="4"/>
      <c r="C6" s="5"/>
      <c r="D6" s="4"/>
      <c r="E6" s="5"/>
      <c r="F6" s="4"/>
      <c r="H6" s="4"/>
      <c r="I6" s="5"/>
      <c r="L6" s="4"/>
      <c r="M6" s="5"/>
      <c r="N6" s="4"/>
      <c r="O6" s="5"/>
      <c r="P6" s="8">
        <v>4884015</v>
      </c>
      <c r="Q6" s="8">
        <v>3923667</v>
      </c>
      <c r="R6" s="4"/>
      <c r="S6" s="5"/>
      <c r="V6" s="4"/>
      <c r="W6" s="5"/>
      <c r="Z6" s="4"/>
      <c r="AA6" s="5"/>
      <c r="AD6" s="4"/>
      <c r="AE6" s="5"/>
      <c r="AH6" s="4"/>
      <c r="AI6" s="5"/>
      <c r="AL6" s="4"/>
      <c r="AM6" s="5"/>
      <c r="AP6" s="4"/>
      <c r="AQ6" s="5"/>
      <c r="AS6" s="5"/>
    </row>
    <row r="7" spans="1:45" x14ac:dyDescent="0.25">
      <c r="A7" t="s">
        <v>3</v>
      </c>
      <c r="B7" s="4"/>
      <c r="C7" s="5"/>
      <c r="D7" s="4"/>
      <c r="E7" s="5"/>
      <c r="F7" s="4"/>
      <c r="H7" s="4"/>
      <c r="I7" s="5"/>
      <c r="L7" s="4"/>
      <c r="M7" s="5"/>
      <c r="N7" s="4"/>
      <c r="O7" s="5"/>
      <c r="P7" s="8">
        <v>-4653142</v>
      </c>
      <c r="Q7" s="8">
        <v>-4555535</v>
      </c>
      <c r="R7" s="4"/>
      <c r="S7" s="5"/>
      <c r="V7" s="4"/>
      <c r="W7" s="5"/>
      <c r="Z7" s="4"/>
      <c r="AA7" s="5"/>
      <c r="AD7" s="4"/>
      <c r="AE7" s="5"/>
      <c r="AH7" s="4"/>
      <c r="AI7" s="5"/>
      <c r="AL7" s="4"/>
      <c r="AM7" s="5"/>
      <c r="AP7" s="4"/>
      <c r="AQ7" s="5"/>
      <c r="AS7" s="5"/>
    </row>
    <row r="8" spans="1:45" x14ac:dyDescent="0.25">
      <c r="B8" s="4"/>
      <c r="C8" s="5"/>
      <c r="D8" s="4"/>
      <c r="E8" s="5"/>
      <c r="F8" s="4"/>
      <c r="H8" s="4"/>
      <c r="I8" s="5"/>
      <c r="L8" s="4"/>
      <c r="M8" s="5"/>
      <c r="N8" s="4"/>
      <c r="O8" s="5"/>
      <c r="R8" s="4"/>
      <c r="S8" s="5"/>
      <c r="V8" s="4"/>
      <c r="W8" s="5"/>
      <c r="Z8" s="4"/>
      <c r="AA8" s="5"/>
      <c r="AD8" s="4"/>
      <c r="AE8" s="5"/>
      <c r="AH8" s="4"/>
      <c r="AI8" s="5"/>
      <c r="AL8" s="4"/>
      <c r="AM8" s="5"/>
      <c r="AP8" s="4"/>
      <c r="AQ8" s="5"/>
      <c r="AS8" s="5"/>
    </row>
    <row r="9" spans="1:45" x14ac:dyDescent="0.25">
      <c r="A9" s="1" t="s">
        <v>4</v>
      </c>
      <c r="B9" s="2"/>
      <c r="C9" s="3"/>
      <c r="D9" s="2"/>
      <c r="E9" s="3"/>
      <c r="F9" s="2"/>
      <c r="G9" s="1"/>
      <c r="H9" s="2"/>
      <c r="I9" s="3"/>
      <c r="J9" s="1"/>
      <c r="K9" s="1"/>
      <c r="L9" s="2"/>
      <c r="M9" s="3"/>
      <c r="N9" s="2"/>
      <c r="O9" s="3"/>
      <c r="P9" s="1" t="s">
        <v>55</v>
      </c>
      <c r="Q9" s="1" t="s">
        <v>55</v>
      </c>
      <c r="R9" s="2"/>
      <c r="S9" s="3"/>
      <c r="T9" s="1"/>
      <c r="U9" s="1"/>
      <c r="V9" s="2"/>
      <c r="W9" s="3"/>
      <c r="X9" s="1"/>
      <c r="Y9" s="1"/>
      <c r="Z9" s="2"/>
      <c r="AA9" s="3"/>
      <c r="AB9" s="1"/>
      <c r="AC9" s="1"/>
      <c r="AD9" s="2"/>
      <c r="AE9" s="3"/>
      <c r="AF9" s="1"/>
      <c r="AG9" s="1"/>
      <c r="AH9" s="2"/>
      <c r="AI9" s="3"/>
      <c r="AJ9" s="1"/>
      <c r="AK9" s="1"/>
      <c r="AL9" s="2"/>
      <c r="AM9" s="3"/>
      <c r="AN9" s="1"/>
      <c r="AO9" s="1"/>
      <c r="AP9" s="2"/>
      <c r="AQ9" s="3"/>
      <c r="AR9" s="1"/>
      <c r="AS9" s="3"/>
    </row>
    <row r="10" spans="1:45" x14ac:dyDescent="0.25">
      <c r="A10" t="s">
        <v>5</v>
      </c>
      <c r="B10" s="4"/>
      <c r="C10" s="5"/>
      <c r="D10" s="4"/>
      <c r="E10" s="5"/>
      <c r="F10" s="4"/>
      <c r="H10" s="4"/>
      <c r="I10" s="5"/>
      <c r="L10" s="4"/>
      <c r="M10" s="5"/>
      <c r="N10" s="4"/>
      <c r="O10" s="5"/>
      <c r="P10" s="8">
        <v>2635130</v>
      </c>
      <c r="Q10" s="8">
        <v>3143538</v>
      </c>
      <c r="R10" s="4"/>
      <c r="S10" s="5"/>
      <c r="V10" s="4"/>
      <c r="W10" s="5"/>
      <c r="Z10" s="4"/>
      <c r="AA10" s="5"/>
      <c r="AD10" s="4"/>
      <c r="AE10" s="5"/>
      <c r="AH10" s="4"/>
      <c r="AI10" s="5"/>
      <c r="AL10" s="4"/>
      <c r="AM10" s="5"/>
      <c r="AP10" s="4"/>
      <c r="AQ10" s="5"/>
      <c r="AS10" s="5"/>
    </row>
    <row r="11" spans="1:45" x14ac:dyDescent="0.25">
      <c r="A11" t="s">
        <v>6</v>
      </c>
      <c r="B11" s="4"/>
      <c r="C11" s="5"/>
      <c r="D11" s="4"/>
      <c r="E11" s="5"/>
      <c r="F11" s="4"/>
      <c r="H11" s="4"/>
      <c r="I11" s="5"/>
      <c r="L11" s="4"/>
      <c r="M11" s="5"/>
      <c r="N11" s="4"/>
      <c r="O11" s="5"/>
      <c r="P11" s="8">
        <v>13312434</v>
      </c>
      <c r="Q11" s="8">
        <v>15650090</v>
      </c>
      <c r="R11" s="4"/>
      <c r="S11" s="5"/>
      <c r="V11" s="4"/>
      <c r="W11" s="5"/>
      <c r="Z11" s="4"/>
      <c r="AA11" s="5"/>
      <c r="AD11" s="4"/>
      <c r="AE11" s="5"/>
      <c r="AH11" s="4"/>
      <c r="AI11" s="5"/>
      <c r="AL11" s="4"/>
      <c r="AM11" s="5"/>
      <c r="AP11" s="4"/>
      <c r="AQ11" s="5"/>
      <c r="AS11" s="5"/>
    </row>
    <row r="12" spans="1:45" x14ac:dyDescent="0.25">
      <c r="A12" t="s">
        <v>7</v>
      </c>
      <c r="B12" s="4"/>
      <c r="C12" s="5"/>
      <c r="D12" s="4"/>
      <c r="E12" s="5"/>
      <c r="F12" s="4"/>
      <c r="H12" s="4"/>
      <c r="I12" s="5"/>
      <c r="L12" s="4"/>
      <c r="M12" s="5"/>
      <c r="N12" s="4"/>
      <c r="O12" s="5"/>
      <c r="P12" s="8">
        <v>-7066904</v>
      </c>
      <c r="Q12" s="8">
        <v>-2442385</v>
      </c>
      <c r="R12" s="4"/>
      <c r="S12" s="5"/>
      <c r="V12" s="4"/>
      <c r="W12" s="5"/>
      <c r="Z12" s="4"/>
      <c r="AA12" s="5"/>
      <c r="AD12" s="4"/>
      <c r="AE12" s="5"/>
      <c r="AH12" s="4"/>
      <c r="AI12" s="5"/>
      <c r="AL12" s="4"/>
      <c r="AM12" s="5"/>
      <c r="AP12" s="4"/>
      <c r="AQ12" s="5"/>
      <c r="AS12" s="5"/>
    </row>
    <row r="13" spans="1:45" x14ac:dyDescent="0.25">
      <c r="B13" s="4"/>
      <c r="C13" s="5"/>
      <c r="D13" s="4"/>
      <c r="E13" s="5"/>
      <c r="F13" s="4"/>
      <c r="H13" s="4"/>
      <c r="I13" s="5"/>
      <c r="L13" s="4"/>
      <c r="M13" s="5"/>
      <c r="N13" s="4"/>
      <c r="O13" s="5"/>
      <c r="R13" s="4"/>
      <c r="S13" s="5"/>
      <c r="V13" s="4"/>
      <c r="W13" s="5"/>
      <c r="Z13" s="4"/>
      <c r="AA13" s="5"/>
      <c r="AD13" s="4"/>
      <c r="AE13" s="5"/>
      <c r="AH13" s="4"/>
      <c r="AI13" s="5"/>
      <c r="AL13" s="4"/>
      <c r="AM13" s="5"/>
      <c r="AP13" s="4"/>
      <c r="AQ13" s="5"/>
      <c r="AS13" s="5"/>
    </row>
    <row r="14" spans="1:45" x14ac:dyDescent="0.25">
      <c r="A14" s="1" t="s">
        <v>8</v>
      </c>
      <c r="B14" s="2"/>
      <c r="C14" s="3"/>
      <c r="D14" s="2"/>
      <c r="E14" s="3"/>
      <c r="F14" s="2"/>
      <c r="G14" s="1"/>
      <c r="H14" s="2"/>
      <c r="I14" s="3"/>
      <c r="J14" s="1"/>
      <c r="K14" s="1"/>
      <c r="L14" s="2"/>
      <c r="M14" s="3"/>
      <c r="N14" s="2"/>
      <c r="O14" s="3"/>
      <c r="P14" s="1" t="s">
        <v>56</v>
      </c>
      <c r="Q14" s="1"/>
      <c r="R14" s="2"/>
      <c r="S14" s="3"/>
      <c r="T14" s="1"/>
      <c r="U14" s="1"/>
      <c r="V14" s="2"/>
      <c r="W14" s="3"/>
      <c r="X14" s="1"/>
      <c r="Y14" s="1"/>
      <c r="Z14" s="2"/>
      <c r="AA14" s="3"/>
      <c r="AB14" s="1"/>
      <c r="AC14" s="1"/>
      <c r="AD14" s="2"/>
      <c r="AE14" s="3"/>
      <c r="AF14" s="1"/>
      <c r="AG14" s="1"/>
      <c r="AH14" s="2"/>
      <c r="AI14" s="3"/>
      <c r="AJ14" s="1"/>
      <c r="AK14" s="1"/>
      <c r="AL14" s="2"/>
      <c r="AM14" s="3"/>
      <c r="AN14" s="1"/>
      <c r="AO14" s="1"/>
      <c r="AP14" s="2"/>
      <c r="AQ14" s="3"/>
      <c r="AR14" s="1"/>
      <c r="AS14" s="3"/>
    </row>
    <row r="15" spans="1:45" x14ac:dyDescent="0.25">
      <c r="A15" t="s">
        <v>9</v>
      </c>
      <c r="B15" s="4"/>
      <c r="C15" s="5"/>
      <c r="D15" s="4"/>
      <c r="E15" s="5"/>
      <c r="F15" s="4"/>
      <c r="H15" s="4"/>
      <c r="I15" s="5"/>
      <c r="L15" s="4"/>
      <c r="M15" s="5"/>
      <c r="N15" s="4"/>
      <c r="O15" s="5"/>
      <c r="P15" s="9">
        <f>P7+P16+P17+P18+P19</f>
        <v>-2338620</v>
      </c>
      <c r="Q15" s="9">
        <f>Q7+Q16+Q17+Q18+Q19</f>
        <v>-3401869</v>
      </c>
      <c r="R15" s="4"/>
      <c r="S15" s="5"/>
      <c r="V15" s="4"/>
      <c r="W15" s="5"/>
      <c r="Z15" s="4"/>
      <c r="AA15" s="5"/>
      <c r="AD15" s="4"/>
      <c r="AE15" s="5"/>
      <c r="AH15" s="4"/>
      <c r="AI15" s="5"/>
      <c r="AL15" s="4"/>
      <c r="AM15" s="5"/>
      <c r="AP15" s="4"/>
      <c r="AQ15" s="5"/>
      <c r="AS15" s="5"/>
    </row>
    <row r="16" spans="1:45" x14ac:dyDescent="0.25">
      <c r="A16" t="s">
        <v>59</v>
      </c>
      <c r="B16" s="4"/>
      <c r="C16" s="5"/>
      <c r="D16" s="4"/>
      <c r="E16" s="5"/>
      <c r="F16" s="4"/>
      <c r="H16" s="4"/>
      <c r="I16" s="5"/>
      <c r="L16" s="4"/>
      <c r="M16" s="5"/>
      <c r="N16" s="4"/>
      <c r="O16" s="5"/>
      <c r="P16" s="9">
        <v>1114232</v>
      </c>
      <c r="Q16" s="9">
        <v>1219586</v>
      </c>
      <c r="R16" s="4"/>
      <c r="S16" s="5"/>
      <c r="V16" s="4"/>
      <c r="W16" s="5"/>
      <c r="Z16" s="4"/>
      <c r="AA16" s="5"/>
      <c r="AD16" s="4"/>
      <c r="AE16" s="5"/>
      <c r="AH16" s="4"/>
      <c r="AI16" s="5"/>
      <c r="AL16" s="4"/>
      <c r="AM16" s="5"/>
      <c r="AP16" s="4"/>
      <c r="AQ16" s="5"/>
      <c r="AS16" s="5"/>
    </row>
    <row r="17" spans="1:45" x14ac:dyDescent="0.25">
      <c r="A17" t="s">
        <v>60</v>
      </c>
      <c r="B17" s="4"/>
      <c r="C17" s="5"/>
      <c r="D17" s="4"/>
      <c r="E17" s="5"/>
      <c r="F17" s="4"/>
      <c r="H17" s="4"/>
      <c r="I17" s="5"/>
      <c r="L17" s="4"/>
      <c r="M17" s="5"/>
      <c r="N17" s="4"/>
      <c r="O17" s="5"/>
      <c r="P17" s="9">
        <v>51162</v>
      </c>
      <c r="Q17" s="9">
        <v>169800</v>
      </c>
      <c r="R17" s="4"/>
      <c r="S17" s="5"/>
      <c r="V17" s="4"/>
      <c r="W17" s="5"/>
      <c r="Z17" s="4"/>
      <c r="AA17" s="5"/>
      <c r="AD17" s="4"/>
      <c r="AE17" s="5"/>
      <c r="AH17" s="4"/>
      <c r="AI17" s="5"/>
      <c r="AL17" s="4"/>
      <c r="AM17" s="5"/>
      <c r="AP17" s="4"/>
      <c r="AQ17" s="5"/>
      <c r="AS17" s="5"/>
    </row>
    <row r="18" spans="1:45" x14ac:dyDescent="0.25">
      <c r="A18" t="s">
        <v>62</v>
      </c>
      <c r="B18" s="4"/>
      <c r="C18" s="5"/>
      <c r="D18" s="4"/>
      <c r="E18" s="5"/>
      <c r="F18" s="4"/>
      <c r="H18" s="4"/>
      <c r="I18" s="5"/>
      <c r="L18" s="4"/>
      <c r="M18" s="5"/>
      <c r="N18" s="4"/>
      <c r="O18" s="5"/>
      <c r="P18" s="9">
        <v>568935</v>
      </c>
      <c r="Q18" s="9">
        <v>-550188</v>
      </c>
      <c r="R18" s="4"/>
      <c r="S18" s="5"/>
      <c r="V18" s="4"/>
      <c r="W18" s="5"/>
      <c r="Z18" s="4"/>
      <c r="AA18" s="5"/>
      <c r="AD18" s="4"/>
      <c r="AE18" s="5"/>
      <c r="AH18" s="4"/>
      <c r="AI18" s="5"/>
      <c r="AL18" s="4"/>
      <c r="AM18" s="5"/>
      <c r="AP18" s="4"/>
      <c r="AQ18" s="5"/>
      <c r="AS18" s="5"/>
    </row>
    <row r="19" spans="1:45" x14ac:dyDescent="0.25">
      <c r="A19" t="s">
        <v>61</v>
      </c>
      <c r="B19" s="4"/>
      <c r="C19" s="5"/>
      <c r="D19" s="4"/>
      <c r="E19" s="5"/>
      <c r="F19" s="4"/>
      <c r="H19" s="4"/>
      <c r="I19" s="5"/>
      <c r="L19" s="4"/>
      <c r="M19" s="5"/>
      <c r="N19" s="4"/>
      <c r="O19" s="5"/>
      <c r="P19" s="9">
        <v>580193</v>
      </c>
      <c r="Q19" s="9">
        <v>314468</v>
      </c>
      <c r="R19" s="4"/>
      <c r="S19" s="5"/>
      <c r="V19" s="4"/>
      <c r="W19" s="5"/>
      <c r="Z19" s="4"/>
      <c r="AA19" s="5"/>
      <c r="AD19" s="4"/>
      <c r="AE19" s="5"/>
      <c r="AH19" s="4"/>
      <c r="AI19" s="5"/>
      <c r="AL19" s="4"/>
      <c r="AM19" s="5"/>
      <c r="AP19" s="4"/>
      <c r="AQ19" s="5"/>
      <c r="AS19" s="5"/>
    </row>
    <row r="20" spans="1:45" x14ac:dyDescent="0.25">
      <c r="B20" s="4"/>
      <c r="C20" s="5"/>
      <c r="D20" s="4"/>
      <c r="E20" s="5"/>
      <c r="F20" s="4"/>
      <c r="H20" s="4"/>
      <c r="I20" s="5"/>
      <c r="L20" s="4"/>
      <c r="M20" s="5"/>
      <c r="N20" s="4"/>
      <c r="O20" s="5"/>
      <c r="R20" s="4"/>
      <c r="S20" s="5"/>
      <c r="V20" s="4"/>
      <c r="W20" s="5"/>
      <c r="Z20" s="4"/>
      <c r="AA20" s="5"/>
      <c r="AD20" s="4"/>
      <c r="AE20" s="5"/>
      <c r="AH20" s="4"/>
      <c r="AI20" s="5"/>
      <c r="AL20" s="4"/>
      <c r="AM20" s="5"/>
      <c r="AP20" s="4"/>
      <c r="AQ20" s="5"/>
      <c r="AS20" s="5"/>
    </row>
    <row r="21" spans="1:45" x14ac:dyDescent="0.25">
      <c r="A21" s="1" t="s">
        <v>10</v>
      </c>
      <c r="B21" s="2"/>
      <c r="C21" s="3"/>
      <c r="D21" s="2"/>
      <c r="E21" s="3"/>
      <c r="F21" s="2"/>
      <c r="G21" s="1"/>
      <c r="H21" s="2"/>
      <c r="I21" s="3"/>
      <c r="J21" s="1"/>
      <c r="K21" s="1"/>
      <c r="L21" s="2"/>
      <c r="M21" s="3"/>
      <c r="N21" s="2"/>
      <c r="O21" s="3"/>
      <c r="P21" s="1"/>
      <c r="Q21" s="1"/>
      <c r="R21" s="2"/>
      <c r="S21" s="3"/>
      <c r="T21" s="1"/>
      <c r="U21" s="1"/>
      <c r="V21" s="2"/>
      <c r="W21" s="3"/>
      <c r="X21" s="1"/>
      <c r="Y21" s="1"/>
      <c r="Z21" s="2"/>
      <c r="AA21" s="3"/>
      <c r="AB21" s="1"/>
      <c r="AC21" s="1"/>
      <c r="AD21" s="2"/>
      <c r="AE21" s="3"/>
      <c r="AF21" s="1"/>
      <c r="AG21" s="1"/>
      <c r="AH21" s="2"/>
      <c r="AI21" s="3"/>
      <c r="AJ21" s="1"/>
      <c r="AK21" s="1"/>
      <c r="AL21" s="2"/>
      <c r="AM21" s="3"/>
      <c r="AN21" s="1"/>
      <c r="AO21" s="1"/>
      <c r="AP21" s="2"/>
      <c r="AQ21" s="3"/>
      <c r="AR21" s="1"/>
      <c r="AS21" s="3"/>
    </row>
    <row r="22" spans="1:45" x14ac:dyDescent="0.25">
      <c r="A22" t="s">
        <v>11</v>
      </c>
      <c r="B22" s="4"/>
      <c r="C22" s="5"/>
      <c r="D22" s="4"/>
      <c r="E22" s="5"/>
      <c r="F22" s="4"/>
      <c r="H22" s="4"/>
      <c r="I22" s="5"/>
      <c r="L22" s="4"/>
      <c r="M22" s="5"/>
      <c r="N22" s="4"/>
      <c r="O22" s="5"/>
      <c r="P22" s="10">
        <f>P15/P11</f>
        <v>-0.17567185685202269</v>
      </c>
      <c r="Q22" s="10">
        <f>Q15/Q11</f>
        <v>-0.21737057103185989</v>
      </c>
      <c r="R22" s="4"/>
      <c r="S22" s="5"/>
      <c r="V22" s="4"/>
      <c r="W22" s="5"/>
      <c r="Z22" s="4"/>
      <c r="AA22" s="5"/>
      <c r="AD22" s="4"/>
      <c r="AE22" s="5"/>
      <c r="AH22" s="4"/>
      <c r="AI22" s="5"/>
      <c r="AL22" s="4"/>
      <c r="AM22" s="5"/>
      <c r="AP22" s="4"/>
      <c r="AQ22" s="5"/>
      <c r="AS22" s="5"/>
    </row>
    <row r="23" spans="1:45" x14ac:dyDescent="0.25">
      <c r="B23" s="4"/>
      <c r="C23" s="5"/>
      <c r="D23" s="4"/>
      <c r="E23" s="5"/>
      <c r="F23" s="4"/>
      <c r="H23" s="4"/>
      <c r="I23" s="5"/>
      <c r="L23" s="4"/>
      <c r="M23" s="5"/>
      <c r="N23" s="4"/>
      <c r="O23" s="5"/>
      <c r="R23" s="4"/>
      <c r="S23" s="5"/>
      <c r="V23" s="4"/>
      <c r="W23" s="5"/>
      <c r="Z23" s="4"/>
      <c r="AA23" s="5"/>
      <c r="AD23" s="4"/>
      <c r="AE23" s="5"/>
      <c r="AH23" s="4"/>
      <c r="AI23" s="5"/>
      <c r="AL23" s="4"/>
      <c r="AM23" s="5"/>
      <c r="AP23" s="4"/>
      <c r="AQ23" s="5"/>
      <c r="AS23" s="5"/>
    </row>
    <row r="24" spans="1:45" x14ac:dyDescent="0.25">
      <c r="A24" s="1" t="s">
        <v>12</v>
      </c>
      <c r="B24" s="2"/>
      <c r="C24" s="3"/>
      <c r="D24" s="2"/>
      <c r="E24" s="3"/>
      <c r="F24" s="2"/>
      <c r="G24" s="1"/>
      <c r="H24" s="2"/>
      <c r="I24" s="3"/>
      <c r="J24" s="1"/>
      <c r="K24" s="1"/>
      <c r="L24" s="2"/>
      <c r="M24" s="3"/>
      <c r="N24" s="2"/>
      <c r="O24" s="3"/>
      <c r="P24" s="1"/>
      <c r="Q24" s="1"/>
      <c r="R24" s="2"/>
      <c r="S24" s="3"/>
      <c r="T24" s="1"/>
      <c r="U24" s="1"/>
      <c r="V24" s="2"/>
      <c r="W24" s="3"/>
      <c r="X24" s="1"/>
      <c r="Y24" s="1"/>
      <c r="Z24" s="2"/>
      <c r="AA24" s="3"/>
      <c r="AB24" s="1"/>
      <c r="AC24" s="1"/>
      <c r="AD24" s="2"/>
      <c r="AE24" s="3"/>
      <c r="AF24" s="1"/>
      <c r="AG24" s="1"/>
      <c r="AH24" s="2"/>
      <c r="AI24" s="3"/>
      <c r="AJ24" s="1"/>
      <c r="AK24" s="1"/>
      <c r="AL24" s="2"/>
      <c r="AM24" s="3"/>
      <c r="AN24" s="1"/>
      <c r="AO24" s="1"/>
      <c r="AP24" s="2"/>
      <c r="AQ24" s="3"/>
      <c r="AR24" s="1"/>
      <c r="AS24" s="3"/>
    </row>
    <row r="25" spans="1:45" x14ac:dyDescent="0.25">
      <c r="A25" t="s">
        <v>13</v>
      </c>
      <c r="B25" s="4"/>
      <c r="C25" s="5"/>
      <c r="D25" s="4"/>
      <c r="E25" s="5"/>
      <c r="F25" s="4"/>
      <c r="H25" s="4"/>
      <c r="I25" s="5"/>
      <c r="L25" s="4"/>
      <c r="M25" s="5"/>
      <c r="N25" s="4"/>
      <c r="O25" s="5"/>
      <c r="P25" s="10">
        <f>P7/P12</f>
        <v>0.65844137687451254</v>
      </c>
      <c r="Q25" s="10">
        <f>Q7/Q12</f>
        <v>1.8651993850273401</v>
      </c>
      <c r="R25" s="4"/>
      <c r="S25" s="5"/>
      <c r="V25" s="4"/>
      <c r="W25" s="5"/>
      <c r="Z25" s="4"/>
      <c r="AA25" s="5"/>
      <c r="AD25" s="4"/>
      <c r="AE25" s="5"/>
      <c r="AH25" s="4"/>
      <c r="AI25" s="5"/>
      <c r="AL25" s="4"/>
      <c r="AM25" s="5"/>
      <c r="AP25" s="4"/>
      <c r="AQ25" s="5"/>
      <c r="AS25" s="5"/>
    </row>
    <row r="26" spans="1:45" x14ac:dyDescent="0.25">
      <c r="B26" s="4"/>
      <c r="C26" s="5"/>
      <c r="D26" s="4"/>
      <c r="E26" s="5"/>
      <c r="F26" s="4"/>
      <c r="H26" s="4"/>
      <c r="I26" s="5"/>
      <c r="L26" s="4"/>
      <c r="M26" s="5"/>
      <c r="N26" s="4"/>
      <c r="O26" s="5"/>
      <c r="R26" s="4"/>
      <c r="S26" s="5"/>
      <c r="V26" s="4"/>
      <c r="W26" s="5"/>
      <c r="Z26" s="4"/>
      <c r="AA26" s="5"/>
      <c r="AD26" s="4"/>
      <c r="AE26" s="5"/>
      <c r="AH26" s="4"/>
      <c r="AI26" s="5"/>
      <c r="AL26" s="4"/>
      <c r="AM26" s="5"/>
      <c r="AP26" s="4"/>
      <c r="AQ26" s="5"/>
      <c r="AS26" s="5"/>
    </row>
    <row r="27" spans="1:45" x14ac:dyDescent="0.25">
      <c r="A27" s="1" t="s">
        <v>14</v>
      </c>
      <c r="B27" s="2"/>
      <c r="C27" s="3"/>
      <c r="D27" s="2"/>
      <c r="E27" s="3"/>
      <c r="F27" s="2"/>
      <c r="G27" s="1"/>
      <c r="H27" s="2"/>
      <c r="I27" s="3"/>
      <c r="J27" s="1"/>
      <c r="K27" s="1"/>
      <c r="L27" s="2"/>
      <c r="M27" s="3"/>
      <c r="N27" s="2"/>
      <c r="O27" s="3"/>
      <c r="P27" s="1"/>
      <c r="Q27" s="1"/>
      <c r="R27" s="2"/>
      <c r="S27" s="3"/>
      <c r="T27" s="1"/>
      <c r="U27" s="1"/>
      <c r="V27" s="2"/>
      <c r="W27" s="3"/>
      <c r="X27" s="1"/>
      <c r="Y27" s="1"/>
      <c r="Z27" s="2"/>
      <c r="AA27" s="3"/>
      <c r="AB27" s="1"/>
      <c r="AC27" s="1"/>
      <c r="AD27" s="2"/>
      <c r="AE27" s="3"/>
      <c r="AF27" s="1"/>
      <c r="AG27" s="1"/>
      <c r="AH27" s="2"/>
      <c r="AI27" s="3"/>
      <c r="AJ27" s="1"/>
      <c r="AK27" s="1"/>
      <c r="AL27" s="2"/>
      <c r="AM27" s="3"/>
      <c r="AN27" s="1"/>
      <c r="AO27" s="1"/>
      <c r="AP27" s="2"/>
      <c r="AQ27" s="3"/>
      <c r="AR27" s="1"/>
      <c r="AS27" s="3"/>
    </row>
    <row r="28" spans="1:45" x14ac:dyDescent="0.25">
      <c r="A28" t="s">
        <v>15</v>
      </c>
      <c r="B28" s="4"/>
      <c r="C28" s="5"/>
      <c r="D28" s="4"/>
      <c r="E28" s="5"/>
      <c r="F28" s="4"/>
      <c r="H28" s="4"/>
      <c r="I28" s="5"/>
      <c r="L28" s="4"/>
      <c r="M28" s="5"/>
      <c r="N28" s="4"/>
      <c r="O28" s="5"/>
      <c r="P28" s="11">
        <f>(P11-P12)/P12</f>
        <v>-2.8837717337040378</v>
      </c>
      <c r="Q28" s="11">
        <f>(Q11-Q12)/Q12</f>
        <v>-7.4077080394778054</v>
      </c>
      <c r="R28" s="4"/>
      <c r="S28" s="5"/>
      <c r="V28" s="4"/>
      <c r="W28" s="5"/>
      <c r="Z28" s="4"/>
      <c r="AA28" s="5"/>
      <c r="AD28" s="4"/>
      <c r="AE28" s="5"/>
      <c r="AH28" s="4"/>
      <c r="AI28" s="5"/>
      <c r="AL28" s="4"/>
      <c r="AM28" s="5"/>
      <c r="AP28" s="4"/>
      <c r="AQ28" s="5"/>
      <c r="AS28" s="5"/>
    </row>
    <row r="29" spans="1:45" x14ac:dyDescent="0.25">
      <c r="B29" s="4"/>
      <c r="C29" s="5"/>
      <c r="D29" s="4"/>
      <c r="E29" s="5"/>
      <c r="F29" s="4"/>
      <c r="H29" s="4"/>
      <c r="I29" s="5"/>
      <c r="L29" s="4"/>
      <c r="M29" s="5"/>
      <c r="N29" s="4"/>
      <c r="O29" s="5"/>
      <c r="R29" s="4"/>
      <c r="S29" s="5"/>
      <c r="V29" s="4"/>
      <c r="W29" s="5"/>
      <c r="Z29" s="4"/>
      <c r="AA29" s="5"/>
      <c r="AD29" s="4"/>
      <c r="AE29" s="5"/>
      <c r="AH29" s="4"/>
      <c r="AI29" s="5"/>
      <c r="AL29" s="4"/>
      <c r="AM29" s="5"/>
      <c r="AP29" s="4"/>
      <c r="AQ29" s="5"/>
      <c r="AS29" s="5"/>
    </row>
    <row r="30" spans="1:45" x14ac:dyDescent="0.25">
      <c r="A30" s="1" t="s">
        <v>16</v>
      </c>
      <c r="B30" s="2"/>
      <c r="C30" s="3"/>
      <c r="D30" s="2"/>
      <c r="E30" s="3"/>
      <c r="F30" s="2"/>
      <c r="G30" s="1"/>
      <c r="H30" s="2"/>
      <c r="I30" s="3"/>
      <c r="J30" s="1"/>
      <c r="K30" s="1"/>
      <c r="L30" s="2"/>
      <c r="M30" s="3"/>
      <c r="N30" s="2"/>
      <c r="O30" s="3"/>
      <c r="P30" s="1"/>
      <c r="Q30" s="1"/>
      <c r="R30" s="2"/>
      <c r="S30" s="3"/>
      <c r="T30" s="1"/>
      <c r="U30" s="1"/>
      <c r="V30" s="2"/>
      <c r="W30" s="3"/>
      <c r="X30" s="1"/>
      <c r="Y30" s="1"/>
      <c r="Z30" s="2"/>
      <c r="AA30" s="3"/>
      <c r="AB30" s="1"/>
      <c r="AC30" s="1"/>
      <c r="AD30" s="2"/>
      <c r="AE30" s="3"/>
      <c r="AF30" s="1"/>
      <c r="AG30" s="1"/>
      <c r="AH30" s="2"/>
      <c r="AI30" s="3"/>
      <c r="AJ30" s="1"/>
      <c r="AK30" s="1"/>
      <c r="AL30" s="2"/>
      <c r="AM30" s="3"/>
      <c r="AN30" s="1"/>
      <c r="AO30" s="1"/>
      <c r="AP30" s="2"/>
      <c r="AQ30" s="3"/>
      <c r="AR30" s="1"/>
      <c r="AS30" s="3"/>
    </row>
    <row r="31" spans="1:45" x14ac:dyDescent="0.25">
      <c r="A31" t="s">
        <v>17</v>
      </c>
      <c r="B31" s="4"/>
      <c r="C31" s="5"/>
      <c r="D31" s="4"/>
      <c r="E31" s="5"/>
      <c r="F31" s="4"/>
      <c r="H31" s="4"/>
      <c r="I31" s="5"/>
      <c r="L31" s="4"/>
      <c r="M31" s="5"/>
      <c r="N31" s="4"/>
      <c r="O31" s="5"/>
      <c r="R31" s="4"/>
      <c r="S31" s="5"/>
      <c r="V31" s="4"/>
      <c r="W31" s="5"/>
      <c r="Z31" s="4"/>
      <c r="AA31" s="5"/>
      <c r="AD31" s="4"/>
      <c r="AE31" s="5"/>
      <c r="AH31" s="4"/>
      <c r="AI31" s="5"/>
      <c r="AL31" s="4"/>
      <c r="AM31" s="5"/>
      <c r="AP31" s="4"/>
      <c r="AQ31" s="5"/>
      <c r="AS31" s="5"/>
    </row>
    <row r="32" spans="1:45" x14ac:dyDescent="0.25">
      <c r="B32" s="4"/>
      <c r="C32" s="5"/>
      <c r="D32" s="4"/>
      <c r="E32" s="5"/>
      <c r="F32" s="4"/>
      <c r="H32" s="4"/>
      <c r="I32" s="5"/>
      <c r="L32" s="4"/>
      <c r="M32" s="5"/>
      <c r="N32" s="4"/>
      <c r="O32" s="5"/>
      <c r="R32" s="4"/>
      <c r="S32" s="5"/>
      <c r="V32" s="4"/>
      <c r="W32" s="5"/>
      <c r="Z32" s="4"/>
      <c r="AA32" s="5"/>
      <c r="AD32" s="4"/>
      <c r="AE32" s="5"/>
      <c r="AH32" s="4"/>
      <c r="AI32" s="5"/>
      <c r="AL32" s="4"/>
      <c r="AM32" s="5"/>
      <c r="AP32" s="4"/>
      <c r="AQ32" s="5"/>
      <c r="AS32" s="5"/>
    </row>
    <row r="33" spans="1:45" x14ac:dyDescent="0.25">
      <c r="A33" s="1" t="s">
        <v>18</v>
      </c>
      <c r="B33" s="2"/>
      <c r="C33" s="3"/>
      <c r="D33" s="2"/>
      <c r="E33" s="3"/>
      <c r="F33" s="2"/>
      <c r="G33" s="1"/>
      <c r="H33" s="2"/>
      <c r="I33" s="3"/>
      <c r="J33" s="1"/>
      <c r="K33" s="1"/>
      <c r="L33" s="2"/>
      <c r="M33" s="3"/>
      <c r="N33" s="2"/>
      <c r="O33" s="3"/>
      <c r="P33" s="1" t="s">
        <v>58</v>
      </c>
      <c r="Q33" s="1"/>
      <c r="R33" s="2"/>
      <c r="S33" s="3"/>
      <c r="T33" s="1"/>
      <c r="U33" s="1"/>
      <c r="V33" s="2"/>
      <c r="W33" s="3"/>
      <c r="X33" s="1"/>
      <c r="Y33" s="1"/>
      <c r="Z33" s="2"/>
      <c r="AA33" s="3"/>
      <c r="AB33" s="1"/>
      <c r="AC33" s="1"/>
      <c r="AD33" s="2"/>
      <c r="AE33" s="3"/>
      <c r="AF33" s="1"/>
      <c r="AG33" s="1"/>
      <c r="AH33" s="2"/>
      <c r="AI33" s="3"/>
      <c r="AJ33" s="1"/>
      <c r="AK33" s="1"/>
      <c r="AL33" s="2"/>
      <c r="AM33" s="3"/>
      <c r="AN33" s="1"/>
      <c r="AO33" s="1"/>
      <c r="AP33" s="2"/>
      <c r="AQ33" s="3"/>
      <c r="AR33" s="1"/>
      <c r="AS33" s="3"/>
    </row>
    <row r="34" spans="1:45" x14ac:dyDescent="0.25">
      <c r="A34" t="s">
        <v>19</v>
      </c>
      <c r="B34" s="4"/>
      <c r="C34" s="5"/>
      <c r="D34" s="4"/>
      <c r="E34" s="5"/>
      <c r="F34" s="4"/>
      <c r="H34" s="4"/>
      <c r="I34" s="5"/>
      <c r="L34" s="4"/>
      <c r="M34" s="5"/>
      <c r="N34" s="4"/>
      <c r="O34" s="5"/>
      <c r="P34" s="11">
        <f>(P10-P35)/P36</f>
        <v>0.18697045125823086</v>
      </c>
      <c r="Q34" s="11">
        <f>(Q10-Q35)/Q36</f>
        <v>0.37075354036258951</v>
      </c>
      <c r="R34" s="4"/>
      <c r="S34" s="5"/>
      <c r="V34" s="4"/>
      <c r="W34" s="5"/>
      <c r="Z34" s="4"/>
      <c r="AA34" s="5"/>
      <c r="AD34" s="4"/>
      <c r="AE34" s="5"/>
      <c r="AH34" s="4"/>
      <c r="AI34" s="5"/>
      <c r="AL34" s="4"/>
      <c r="AM34" s="5"/>
      <c r="AP34" s="4"/>
      <c r="AQ34" s="5"/>
      <c r="AS34" s="5"/>
    </row>
    <row r="35" spans="1:45" x14ac:dyDescent="0.25">
      <c r="A35" t="s">
        <v>63</v>
      </c>
      <c r="B35" s="4"/>
      <c r="C35" s="5"/>
      <c r="D35" s="4"/>
      <c r="E35" s="5"/>
      <c r="F35" s="4"/>
      <c r="H35" s="4"/>
      <c r="I35" s="5"/>
      <c r="L35" s="4"/>
      <c r="M35" s="5"/>
      <c r="N35" s="4"/>
      <c r="O35" s="5"/>
      <c r="P35" s="8">
        <f>287337+41264</f>
        <v>328601</v>
      </c>
      <c r="Q35" s="8">
        <f>323574+42320</f>
        <v>365894</v>
      </c>
      <c r="R35" s="4"/>
      <c r="S35" s="5"/>
      <c r="V35" s="4"/>
      <c r="W35" s="5"/>
      <c r="Z35" s="4"/>
      <c r="AA35" s="5"/>
      <c r="AD35" s="4"/>
      <c r="AE35" s="5"/>
      <c r="AH35" s="4"/>
      <c r="AI35" s="5"/>
      <c r="AL35" s="4"/>
      <c r="AM35" s="5"/>
      <c r="AP35" s="4"/>
      <c r="AQ35" s="5"/>
      <c r="AS35" s="5"/>
    </row>
    <row r="36" spans="1:45" x14ac:dyDescent="0.25">
      <c r="A36" t="s">
        <v>64</v>
      </c>
      <c r="B36" s="4"/>
      <c r="C36" s="5"/>
      <c r="D36" s="4"/>
      <c r="E36" s="5"/>
      <c r="F36" s="4"/>
      <c r="H36" s="4"/>
      <c r="I36" s="5"/>
      <c r="L36" s="4"/>
      <c r="M36" s="5"/>
      <c r="N36" s="4"/>
      <c r="O36" s="5"/>
      <c r="P36" s="8">
        <v>12336329</v>
      </c>
      <c r="Q36" s="8">
        <v>7491888</v>
      </c>
      <c r="R36" s="4"/>
      <c r="S36" s="5"/>
      <c r="V36" s="4"/>
      <c r="W36" s="5"/>
      <c r="Z36" s="4"/>
      <c r="AA36" s="5"/>
      <c r="AD36" s="4"/>
      <c r="AE36" s="5"/>
      <c r="AH36" s="4"/>
      <c r="AI36" s="5"/>
      <c r="AL36" s="4"/>
      <c r="AM36" s="5"/>
      <c r="AP36" s="4"/>
      <c r="AQ36" s="5"/>
      <c r="AS36" s="5"/>
    </row>
    <row r="37" spans="1:45" x14ac:dyDescent="0.25">
      <c r="B37" s="4"/>
      <c r="C37" s="5"/>
      <c r="D37" s="4"/>
      <c r="E37" s="5"/>
      <c r="F37" s="4"/>
      <c r="H37" s="4"/>
      <c r="I37" s="5"/>
      <c r="L37" s="4"/>
      <c r="M37" s="5"/>
      <c r="N37" s="4"/>
      <c r="O37" s="5"/>
      <c r="R37" s="4"/>
      <c r="S37" s="5"/>
      <c r="V37" s="4"/>
      <c r="W37" s="5"/>
      <c r="Z37" s="4"/>
      <c r="AA37" s="5"/>
      <c r="AD37" s="4"/>
      <c r="AE37" s="5"/>
      <c r="AH37" s="4"/>
      <c r="AI37" s="5"/>
      <c r="AL37" s="4"/>
      <c r="AM37" s="5"/>
      <c r="AP37" s="4"/>
      <c r="AQ37" s="5"/>
      <c r="AS37" s="5"/>
    </row>
    <row r="38" spans="1:45" x14ac:dyDescent="0.25">
      <c r="A38" s="1" t="s">
        <v>20</v>
      </c>
      <c r="B38" s="2"/>
      <c r="C38" s="3"/>
      <c r="D38" s="2"/>
      <c r="E38" s="3"/>
      <c r="F38" s="2"/>
      <c r="G38" s="1"/>
      <c r="H38" s="2"/>
      <c r="I38" s="3"/>
      <c r="J38" s="1"/>
      <c r="K38" s="1"/>
      <c r="L38" s="2"/>
      <c r="M38" s="3"/>
      <c r="N38" s="2"/>
      <c r="O38" s="3"/>
      <c r="P38" s="1"/>
      <c r="Q38" s="1"/>
      <c r="R38" s="2"/>
      <c r="S38" s="3"/>
      <c r="T38" s="1"/>
      <c r="U38" s="1"/>
      <c r="V38" s="2"/>
      <c r="W38" s="3"/>
      <c r="X38" s="1"/>
      <c r="Y38" s="1"/>
      <c r="Z38" s="2"/>
      <c r="AA38" s="3"/>
      <c r="AB38" s="1"/>
      <c r="AC38" s="1"/>
      <c r="AD38" s="2"/>
      <c r="AE38" s="3"/>
      <c r="AF38" s="1"/>
      <c r="AG38" s="1"/>
      <c r="AH38" s="2"/>
      <c r="AI38" s="3"/>
      <c r="AJ38" s="1"/>
      <c r="AK38" s="1"/>
      <c r="AL38" s="2"/>
      <c r="AM38" s="3"/>
      <c r="AN38" s="1"/>
      <c r="AO38" s="1"/>
      <c r="AP38" s="2"/>
      <c r="AQ38" s="3"/>
      <c r="AR38" s="1"/>
      <c r="AS38" s="3"/>
    </row>
    <row r="39" spans="1:45" x14ac:dyDescent="0.25">
      <c r="A39" t="s">
        <v>21</v>
      </c>
      <c r="B39" s="4"/>
      <c r="C39" s="5"/>
      <c r="D39" s="4"/>
      <c r="E39" s="5"/>
      <c r="F39" s="4"/>
      <c r="H39" s="4"/>
      <c r="I39" s="5"/>
      <c r="L39" s="4"/>
      <c r="M39" s="5"/>
      <c r="N39" s="4"/>
      <c r="O39" s="5"/>
      <c r="P39" s="11">
        <f>(P15+P18+P19)/P19</f>
        <v>-2.0501660654299516</v>
      </c>
      <c r="Q39" s="11">
        <f>(Q15+Q18+Q19)/Q19</f>
        <v>-11.567437704313317</v>
      </c>
      <c r="R39" s="4"/>
      <c r="S39" s="5"/>
      <c r="V39" s="4"/>
      <c r="W39" s="5"/>
      <c r="Z39" s="4"/>
      <c r="AA39" s="5"/>
      <c r="AD39" s="4"/>
      <c r="AE39" s="5"/>
      <c r="AH39" s="4"/>
      <c r="AI39" s="5"/>
      <c r="AL39" s="4"/>
      <c r="AM39" s="5"/>
      <c r="AP39" s="4"/>
      <c r="AQ39" s="5"/>
      <c r="AS39" s="5"/>
    </row>
    <row r="40" spans="1:45" x14ac:dyDescent="0.25">
      <c r="B40" s="4"/>
      <c r="C40" s="5"/>
      <c r="D40" s="4"/>
      <c r="E40" s="5"/>
      <c r="F40" s="4"/>
      <c r="H40" s="4"/>
      <c r="I40" s="5"/>
      <c r="L40" s="4"/>
      <c r="M40" s="5"/>
      <c r="N40" s="4"/>
      <c r="O40" s="5"/>
      <c r="R40" s="4"/>
      <c r="S40" s="5"/>
      <c r="V40" s="4"/>
      <c r="W40" s="5"/>
      <c r="Z40" s="4"/>
      <c r="AA40" s="5"/>
      <c r="AD40" s="4"/>
      <c r="AE40" s="5"/>
      <c r="AH40" s="4"/>
      <c r="AI40" s="5"/>
      <c r="AL40" s="4"/>
      <c r="AM40" s="5"/>
      <c r="AP40" s="4"/>
      <c r="AQ40" s="5"/>
      <c r="AS40" s="5"/>
    </row>
    <row r="41" spans="1:45" x14ac:dyDescent="0.25">
      <c r="A41" s="1" t="s">
        <v>22</v>
      </c>
      <c r="B41" s="2"/>
      <c r="C41" s="3"/>
      <c r="D41" s="2"/>
      <c r="E41" s="3"/>
      <c r="F41" s="2"/>
      <c r="G41" s="1"/>
      <c r="H41" s="2"/>
      <c r="I41" s="3"/>
      <c r="J41" s="1"/>
      <c r="K41" s="1"/>
      <c r="L41" s="2"/>
      <c r="M41" s="3"/>
      <c r="N41" s="2"/>
      <c r="O41" s="3"/>
      <c r="P41" s="1"/>
      <c r="Q41" s="1"/>
      <c r="R41" s="2"/>
      <c r="S41" s="3"/>
      <c r="T41" s="1"/>
      <c r="U41" s="1"/>
      <c r="V41" s="2"/>
      <c r="W41" s="3"/>
      <c r="X41" s="1"/>
      <c r="Y41" s="1"/>
      <c r="Z41" s="2"/>
      <c r="AA41" s="3"/>
      <c r="AB41" s="1"/>
      <c r="AC41" s="1"/>
      <c r="AD41" s="2"/>
      <c r="AE41" s="3"/>
      <c r="AF41" s="1"/>
      <c r="AG41" s="1"/>
      <c r="AH41" s="2"/>
      <c r="AI41" s="3"/>
      <c r="AJ41" s="1"/>
      <c r="AK41" s="1"/>
      <c r="AL41" s="2"/>
      <c r="AM41" s="3"/>
      <c r="AN41" s="1"/>
      <c r="AO41" s="1"/>
      <c r="AP41" s="2"/>
      <c r="AQ41" s="3"/>
      <c r="AR41" s="1"/>
      <c r="AS41" s="3"/>
    </row>
    <row r="42" spans="1:45" x14ac:dyDescent="0.25">
      <c r="A42" t="s">
        <v>23</v>
      </c>
      <c r="B42" s="4"/>
      <c r="C42" s="5"/>
      <c r="D42" s="4"/>
      <c r="E42" s="5"/>
      <c r="F42" s="4"/>
      <c r="H42" s="4"/>
      <c r="I42" s="5"/>
      <c r="L42" s="4"/>
      <c r="M42" s="5"/>
      <c r="N42" s="4"/>
      <c r="O42" s="5"/>
      <c r="P42" t="s">
        <v>53</v>
      </c>
      <c r="Q42" t="s">
        <v>53</v>
      </c>
      <c r="R42" s="4"/>
      <c r="S42" s="5"/>
      <c r="V42" s="4"/>
      <c r="W42" s="5"/>
      <c r="Z42" s="4"/>
      <c r="AA42" s="5"/>
      <c r="AD42" s="4"/>
      <c r="AE42" s="5"/>
      <c r="AH42" s="4"/>
      <c r="AI42" s="5"/>
      <c r="AL42" s="4"/>
      <c r="AM42" s="5"/>
      <c r="AP42" s="4"/>
      <c r="AQ42" s="5"/>
      <c r="AS42" s="5"/>
    </row>
    <row r="43" spans="1:45" x14ac:dyDescent="0.25">
      <c r="A43" t="s">
        <v>24</v>
      </c>
      <c r="B43" s="4"/>
      <c r="C43" s="5"/>
      <c r="D43" s="4"/>
      <c r="E43" s="5"/>
      <c r="F43" s="4"/>
      <c r="H43" s="4"/>
      <c r="I43" s="5"/>
      <c r="L43" s="4"/>
      <c r="M43" s="5"/>
      <c r="N43" s="4"/>
      <c r="O43" s="5"/>
      <c r="P43" t="s">
        <v>54</v>
      </c>
      <c r="Q43" t="s">
        <v>54</v>
      </c>
      <c r="R43" s="4"/>
      <c r="S43" s="5"/>
      <c r="V43" s="4"/>
      <c r="W43" s="5"/>
      <c r="Z43" s="4"/>
      <c r="AA43" s="5"/>
      <c r="AD43" s="4"/>
      <c r="AE43" s="5"/>
      <c r="AH43" s="4"/>
      <c r="AI43" s="5"/>
      <c r="AL43" s="4"/>
      <c r="AM43" s="5"/>
      <c r="AP43" s="4"/>
      <c r="AQ43" s="5"/>
      <c r="AS43" s="5"/>
    </row>
    <row r="44" spans="1:45" x14ac:dyDescent="0.25">
      <c r="B44" s="4"/>
      <c r="C44" s="5"/>
      <c r="D44" s="4"/>
      <c r="E44" s="5"/>
      <c r="F44" s="4"/>
      <c r="H44" s="4"/>
      <c r="I44" s="5"/>
      <c r="L44" s="4"/>
      <c r="M44" s="5"/>
      <c r="N44" s="4"/>
      <c r="O44" s="5"/>
      <c r="R44" s="4"/>
      <c r="S44" s="5"/>
      <c r="V44" s="4"/>
      <c r="W44" s="5"/>
      <c r="Z44" s="4"/>
      <c r="AA44" s="5"/>
      <c r="AD44" s="4"/>
      <c r="AE44" s="5"/>
      <c r="AH44" s="4"/>
      <c r="AI44" s="5"/>
      <c r="AL44" s="4"/>
      <c r="AM44" s="5"/>
      <c r="AP44" s="4"/>
      <c r="AQ44" s="5"/>
      <c r="AS44" s="5"/>
    </row>
    <row r="45" spans="1:45" x14ac:dyDescent="0.25">
      <c r="A45" s="1" t="s">
        <v>25</v>
      </c>
      <c r="B45" s="2"/>
      <c r="C45" s="3"/>
      <c r="D45" s="2"/>
      <c r="E45" s="3"/>
      <c r="F45" s="2"/>
      <c r="G45" s="1"/>
      <c r="H45" s="2"/>
      <c r="I45" s="3"/>
      <c r="J45" s="1"/>
      <c r="K45" s="1"/>
      <c r="L45" s="2"/>
      <c r="M45" s="3"/>
      <c r="N45" s="2"/>
      <c r="O45" s="3"/>
      <c r="P45" s="1"/>
      <c r="Q45" s="1"/>
      <c r="R45" s="2"/>
      <c r="S45" s="3"/>
      <c r="T45" s="1"/>
      <c r="U45" s="1"/>
      <c r="V45" s="2"/>
      <c r="W45" s="3"/>
      <c r="X45" s="1"/>
      <c r="Y45" s="1"/>
      <c r="Z45" s="2"/>
      <c r="AA45" s="3"/>
      <c r="AB45" s="1"/>
      <c r="AC45" s="1"/>
      <c r="AD45" s="2"/>
      <c r="AE45" s="3"/>
      <c r="AF45" s="1"/>
      <c r="AG45" s="1"/>
      <c r="AH45" s="2"/>
      <c r="AI45" s="3"/>
      <c r="AJ45" s="1"/>
      <c r="AK45" s="1"/>
      <c r="AL45" s="2"/>
      <c r="AM45" s="3"/>
      <c r="AN45" s="1"/>
      <c r="AO45" s="1"/>
      <c r="AP45" s="2"/>
      <c r="AQ45" s="3"/>
      <c r="AR45" s="1"/>
      <c r="AS45" s="3"/>
    </row>
    <row r="46" spans="1:45" x14ac:dyDescent="0.25">
      <c r="A46" t="s">
        <v>26</v>
      </c>
      <c r="B46" s="4"/>
      <c r="C46" s="5"/>
      <c r="D46" s="4"/>
      <c r="E46" s="5"/>
      <c r="F46" s="4"/>
      <c r="H46" s="4"/>
      <c r="I46" s="5"/>
      <c r="L46" s="4"/>
      <c r="M46" s="5"/>
      <c r="N46" s="4"/>
      <c r="O46" s="5"/>
      <c r="R46" s="4"/>
      <c r="S46" s="5"/>
      <c r="V46" s="4"/>
      <c r="W46" s="5"/>
      <c r="Z46" s="4"/>
      <c r="AA46" s="5"/>
      <c r="AD46" s="4"/>
      <c r="AE46" s="5"/>
      <c r="AH46" s="4"/>
      <c r="AI46" s="5"/>
      <c r="AL46" s="4"/>
      <c r="AM46" s="5"/>
      <c r="AP46" s="4"/>
      <c r="AQ46" s="5"/>
      <c r="AS46" s="5"/>
    </row>
    <row r="47" spans="1:45" x14ac:dyDescent="0.25">
      <c r="A47" t="s">
        <v>27</v>
      </c>
      <c r="B47" s="4"/>
      <c r="C47" s="5"/>
      <c r="D47" s="4"/>
      <c r="E47" s="5"/>
      <c r="F47" s="4"/>
      <c r="H47" s="4"/>
      <c r="I47" s="5"/>
      <c r="L47" s="4"/>
      <c r="M47" s="5"/>
      <c r="N47" s="4"/>
      <c r="O47" s="5"/>
      <c r="R47" s="4"/>
      <c r="S47" s="5"/>
      <c r="V47" s="4"/>
      <c r="W47" s="5"/>
      <c r="Z47" s="4"/>
      <c r="AA47" s="5"/>
      <c r="AD47" s="4"/>
      <c r="AE47" s="5"/>
      <c r="AH47" s="4"/>
      <c r="AI47" s="5"/>
      <c r="AL47" s="4"/>
      <c r="AM47" s="5"/>
      <c r="AP47" s="4"/>
      <c r="AQ47" s="5"/>
      <c r="AS47" s="5"/>
    </row>
    <row r="48" spans="1:45" x14ac:dyDescent="0.25">
      <c r="A48" t="s">
        <v>28</v>
      </c>
      <c r="B48" s="4"/>
      <c r="C48" s="5"/>
      <c r="D48" s="4"/>
      <c r="E48" s="5"/>
      <c r="F48" s="4"/>
      <c r="H48" s="4"/>
      <c r="I48" s="5"/>
      <c r="L48" s="4"/>
      <c r="M48" s="5"/>
      <c r="N48" s="4"/>
      <c r="O48" s="5"/>
      <c r="R48" s="4"/>
      <c r="S48" s="5"/>
      <c r="V48" s="4"/>
      <c r="W48" s="5"/>
      <c r="Z48" s="4"/>
      <c r="AA48" s="5"/>
      <c r="AD48" s="4"/>
      <c r="AE48" s="5"/>
      <c r="AH48" s="4"/>
      <c r="AI48" s="5"/>
      <c r="AL48" s="4"/>
      <c r="AM48" s="5"/>
      <c r="AP48" s="4"/>
      <c r="AQ48" s="5"/>
      <c r="AS48" s="5"/>
    </row>
    <row r="49" spans="1:45" x14ac:dyDescent="0.25">
      <c r="A49" t="s">
        <v>29</v>
      </c>
      <c r="B49" s="4"/>
      <c r="C49" s="5"/>
      <c r="D49" s="4"/>
      <c r="E49" s="5"/>
      <c r="F49" s="4"/>
      <c r="H49" s="4"/>
      <c r="I49" s="5"/>
      <c r="L49" s="4"/>
      <c r="M49" s="5"/>
      <c r="N49" s="4"/>
      <c r="O49" s="5"/>
      <c r="R49" s="4"/>
      <c r="S49" s="5"/>
      <c r="V49" s="4"/>
      <c r="W49" s="5"/>
      <c r="Z49" s="4"/>
      <c r="AA49" s="5"/>
      <c r="AD49" s="4"/>
      <c r="AE49" s="5"/>
      <c r="AH49" s="4"/>
      <c r="AI49" s="5"/>
      <c r="AL49" s="4"/>
      <c r="AM49" s="5"/>
      <c r="AP49" s="4"/>
      <c r="AQ49" s="5"/>
      <c r="AS49" s="5"/>
    </row>
    <row r="50" spans="1:45" x14ac:dyDescent="0.25">
      <c r="B50" s="4"/>
      <c r="C50" s="5"/>
      <c r="D50" s="4"/>
      <c r="E50" s="5"/>
      <c r="F50" s="4"/>
      <c r="H50" s="4"/>
      <c r="I50" s="5"/>
      <c r="L50" s="4"/>
      <c r="M50" s="5"/>
      <c r="N50" s="4"/>
      <c r="O50" s="5"/>
      <c r="R50" s="4"/>
      <c r="S50" s="5"/>
      <c r="V50" s="4"/>
      <c r="W50" s="5"/>
      <c r="Z50" s="4"/>
      <c r="AA50" s="5"/>
      <c r="AD50" s="4"/>
      <c r="AE50" s="5"/>
      <c r="AH50" s="4"/>
      <c r="AI50" s="5"/>
      <c r="AL50" s="4"/>
      <c r="AM50" s="5"/>
      <c r="AP50" s="4"/>
      <c r="AQ50" s="5"/>
      <c r="AS50" s="5"/>
    </row>
    <row r="51" spans="1:45" x14ac:dyDescent="0.25">
      <c r="A51" s="70" t="s">
        <v>30</v>
      </c>
      <c r="B51" s="71"/>
      <c r="C51" s="72"/>
      <c r="D51" s="63"/>
      <c r="E51" s="64"/>
      <c r="F51" s="63"/>
      <c r="G51" s="67"/>
      <c r="H51" s="63"/>
      <c r="I51" s="64"/>
      <c r="J51" s="67"/>
      <c r="K51" s="67"/>
      <c r="L51" s="63"/>
      <c r="M51" s="64"/>
      <c r="N51" s="63"/>
      <c r="O51" s="64"/>
      <c r="P51" s="67"/>
      <c r="Q51" s="67"/>
      <c r="R51" s="63"/>
      <c r="S51" s="64"/>
      <c r="T51" s="67"/>
      <c r="U51" s="67"/>
      <c r="V51" s="63"/>
      <c r="W51" s="64"/>
      <c r="X51" s="67"/>
      <c r="Y51" s="67"/>
      <c r="Z51" s="63"/>
      <c r="AA51" s="64"/>
      <c r="AB51" s="67"/>
      <c r="AC51" s="67"/>
      <c r="AD51" s="63"/>
      <c r="AE51" s="64"/>
      <c r="AF51" s="67"/>
      <c r="AG51" s="67"/>
      <c r="AH51" s="63"/>
      <c r="AI51" s="64"/>
      <c r="AJ51" s="67"/>
      <c r="AK51" s="67"/>
      <c r="AL51" s="63"/>
      <c r="AM51" s="64"/>
      <c r="AN51" s="67"/>
      <c r="AO51" s="67"/>
      <c r="AP51" s="63"/>
      <c r="AQ51" s="64"/>
      <c r="AR51" s="67"/>
      <c r="AS51" s="64"/>
    </row>
    <row r="52" spans="1:45" x14ac:dyDescent="0.25">
      <c r="A52" s="70"/>
      <c r="B52" s="71"/>
      <c r="C52" s="72"/>
      <c r="D52" s="63"/>
      <c r="E52" s="64"/>
      <c r="F52" s="63"/>
      <c r="G52" s="67"/>
      <c r="H52" s="63"/>
      <c r="I52" s="64"/>
      <c r="J52" s="67"/>
      <c r="K52" s="67"/>
      <c r="L52" s="63"/>
      <c r="M52" s="64"/>
      <c r="N52" s="63"/>
      <c r="O52" s="64"/>
      <c r="P52" s="67"/>
      <c r="Q52" s="67"/>
      <c r="R52" s="63"/>
      <c r="S52" s="64"/>
      <c r="T52" s="67"/>
      <c r="U52" s="67"/>
      <c r="V52" s="63"/>
      <c r="W52" s="64"/>
      <c r="X52" s="67"/>
      <c r="Y52" s="67"/>
      <c r="Z52" s="63"/>
      <c r="AA52" s="64"/>
      <c r="AB52" s="67"/>
      <c r="AC52" s="67"/>
      <c r="AD52" s="63"/>
      <c r="AE52" s="64"/>
      <c r="AF52" s="67"/>
      <c r="AG52" s="67"/>
      <c r="AH52" s="63"/>
      <c r="AI52" s="64"/>
      <c r="AJ52" s="67"/>
      <c r="AK52" s="67"/>
      <c r="AL52" s="63"/>
      <c r="AM52" s="64"/>
      <c r="AN52" s="67"/>
      <c r="AO52" s="67"/>
      <c r="AP52" s="63"/>
      <c r="AQ52" s="64"/>
      <c r="AR52" s="67"/>
      <c r="AS52" s="64"/>
    </row>
    <row r="53" spans="1:45" x14ac:dyDescent="0.25">
      <c r="A53" s="70"/>
      <c r="B53" s="71"/>
      <c r="C53" s="72"/>
      <c r="D53" s="63"/>
      <c r="E53" s="64"/>
      <c r="F53" s="63"/>
      <c r="G53" s="67"/>
      <c r="H53" s="63"/>
      <c r="I53" s="64"/>
      <c r="J53" s="67"/>
      <c r="K53" s="67"/>
      <c r="L53" s="63"/>
      <c r="M53" s="64"/>
      <c r="N53" s="63"/>
      <c r="O53" s="64"/>
      <c r="P53" s="67"/>
      <c r="Q53" s="67"/>
      <c r="R53" s="63"/>
      <c r="S53" s="64"/>
      <c r="T53" s="67"/>
      <c r="U53" s="67"/>
      <c r="V53" s="63"/>
      <c r="W53" s="64"/>
      <c r="X53" s="67"/>
      <c r="Y53" s="67"/>
      <c r="Z53" s="63"/>
      <c r="AA53" s="64"/>
      <c r="AB53" s="67"/>
      <c r="AC53" s="67"/>
      <c r="AD53" s="63"/>
      <c r="AE53" s="64"/>
      <c r="AF53" s="67"/>
      <c r="AG53" s="67"/>
      <c r="AH53" s="63"/>
      <c r="AI53" s="64"/>
      <c r="AJ53" s="67"/>
      <c r="AK53" s="67"/>
      <c r="AL53" s="63"/>
      <c r="AM53" s="64"/>
      <c r="AN53" s="67"/>
      <c r="AO53" s="67"/>
      <c r="AP53" s="63"/>
      <c r="AQ53" s="64"/>
      <c r="AR53" s="67"/>
      <c r="AS53" s="64"/>
    </row>
    <row r="54" spans="1:45" x14ac:dyDescent="0.25">
      <c r="A54" s="70"/>
      <c r="B54" s="71"/>
      <c r="C54" s="72"/>
      <c r="D54" s="63"/>
      <c r="E54" s="64"/>
      <c r="F54" s="63"/>
      <c r="G54" s="67"/>
      <c r="H54" s="63"/>
      <c r="I54" s="64"/>
      <c r="J54" s="67"/>
      <c r="K54" s="67"/>
      <c r="L54" s="63"/>
      <c r="M54" s="64"/>
      <c r="N54" s="63"/>
      <c r="O54" s="64"/>
      <c r="P54" s="67"/>
      <c r="Q54" s="67"/>
      <c r="R54" s="63"/>
      <c r="S54" s="64"/>
      <c r="T54" s="67"/>
      <c r="U54" s="67"/>
      <c r="V54" s="63"/>
      <c r="W54" s="64"/>
      <c r="X54" s="67"/>
      <c r="Y54" s="67"/>
      <c r="Z54" s="63"/>
      <c r="AA54" s="64"/>
      <c r="AB54" s="67"/>
      <c r="AC54" s="67"/>
      <c r="AD54" s="63"/>
      <c r="AE54" s="64"/>
      <c r="AF54" s="67"/>
      <c r="AG54" s="67"/>
      <c r="AH54" s="63"/>
      <c r="AI54" s="64"/>
      <c r="AJ54" s="67"/>
      <c r="AK54" s="67"/>
      <c r="AL54" s="63"/>
      <c r="AM54" s="64"/>
      <c r="AN54" s="67"/>
      <c r="AO54" s="67"/>
      <c r="AP54" s="63"/>
      <c r="AQ54" s="64"/>
      <c r="AR54" s="67"/>
      <c r="AS54" s="64"/>
    </row>
    <row r="55" spans="1:45" x14ac:dyDescent="0.25">
      <c r="A55" s="70"/>
      <c r="B55" s="73"/>
      <c r="C55" s="74"/>
      <c r="D55" s="65"/>
      <c r="E55" s="66"/>
      <c r="F55" s="65"/>
      <c r="G55" s="68"/>
      <c r="H55" s="65"/>
      <c r="I55" s="66"/>
      <c r="J55" s="68"/>
      <c r="K55" s="68"/>
      <c r="L55" s="65"/>
      <c r="M55" s="66"/>
      <c r="N55" s="65"/>
      <c r="O55" s="66"/>
      <c r="P55" s="68"/>
      <c r="Q55" s="68"/>
      <c r="R55" s="65"/>
      <c r="S55" s="66"/>
      <c r="T55" s="68"/>
      <c r="U55" s="68"/>
      <c r="V55" s="65"/>
      <c r="W55" s="66"/>
      <c r="X55" s="68"/>
      <c r="Y55" s="68"/>
      <c r="Z55" s="65"/>
      <c r="AA55" s="66"/>
      <c r="AB55" s="68"/>
      <c r="AC55" s="68"/>
      <c r="AD55" s="65"/>
      <c r="AE55" s="66"/>
      <c r="AF55" s="68"/>
      <c r="AG55" s="68"/>
      <c r="AH55" s="65"/>
      <c r="AI55" s="66"/>
      <c r="AJ55" s="68"/>
      <c r="AK55" s="68"/>
      <c r="AL55" s="65"/>
      <c r="AM55" s="66"/>
      <c r="AN55" s="68"/>
      <c r="AO55" s="68"/>
      <c r="AP55" s="65"/>
      <c r="AQ55" s="66"/>
      <c r="AR55" s="68"/>
      <c r="AS55" s="66"/>
    </row>
  </sheetData>
  <mergeCells count="67">
    <mergeCell ref="B1:C1"/>
    <mergeCell ref="D1:E1"/>
    <mergeCell ref="F1:G1"/>
    <mergeCell ref="H1:I1"/>
    <mergeCell ref="J1:K1"/>
    <mergeCell ref="L2:M2"/>
    <mergeCell ref="Z1:AA1"/>
    <mergeCell ref="AB1:AC1"/>
    <mergeCell ref="AD1:AE1"/>
    <mergeCell ref="AF1:AG1"/>
    <mergeCell ref="N1:O1"/>
    <mergeCell ref="P1:Q1"/>
    <mergeCell ref="R1:S1"/>
    <mergeCell ref="T1:U1"/>
    <mergeCell ref="V1:W1"/>
    <mergeCell ref="X1:Y1"/>
    <mergeCell ref="L1:M1"/>
    <mergeCell ref="X2:Y2"/>
    <mergeCell ref="N2:O2"/>
    <mergeCell ref="P2:Q2"/>
    <mergeCell ref="R2:S2"/>
    <mergeCell ref="B2:C2"/>
    <mergeCell ref="D2:E2"/>
    <mergeCell ref="F2:G2"/>
    <mergeCell ref="H2:I2"/>
    <mergeCell ref="J2:K2"/>
    <mergeCell ref="AL1:AM1"/>
    <mergeCell ref="AN1:AO1"/>
    <mergeCell ref="AP1:AQ1"/>
    <mergeCell ref="AR1:AS1"/>
    <mergeCell ref="AH1:AI1"/>
    <mergeCell ref="AJ1:AK1"/>
    <mergeCell ref="T2:U2"/>
    <mergeCell ref="V2:W2"/>
    <mergeCell ref="AL2:AM2"/>
    <mergeCell ref="AN2:AO2"/>
    <mergeCell ref="AP2:AQ2"/>
    <mergeCell ref="AR2:AS2"/>
    <mergeCell ref="A51:A55"/>
    <mergeCell ref="B51:C55"/>
    <mergeCell ref="D51:E55"/>
    <mergeCell ref="F51:G55"/>
    <mergeCell ref="H51:I55"/>
    <mergeCell ref="J51:K55"/>
    <mergeCell ref="Z2:AA2"/>
    <mergeCell ref="AB2:AC2"/>
    <mergeCell ref="AD2:AE2"/>
    <mergeCell ref="AF2:AG2"/>
    <mergeCell ref="AH2:AI2"/>
    <mergeCell ref="AJ2:AK2"/>
    <mergeCell ref="AH51:AI55"/>
    <mergeCell ref="L51:M55"/>
    <mergeCell ref="N51:O55"/>
    <mergeCell ref="P51:Q55"/>
    <mergeCell ref="R51:S55"/>
    <mergeCell ref="T51:U55"/>
    <mergeCell ref="V51:W55"/>
    <mergeCell ref="X51:Y55"/>
    <mergeCell ref="AL51:AM55"/>
    <mergeCell ref="AN51:AO55"/>
    <mergeCell ref="AP51:AQ55"/>
    <mergeCell ref="AR51:AS55"/>
    <mergeCell ref="Z51:AA55"/>
    <mergeCell ref="AB51:AC55"/>
    <mergeCell ref="AD51:AE55"/>
    <mergeCell ref="AF51:AG55"/>
    <mergeCell ref="AJ51:AK5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55A9D-2537-4B34-B93A-CE4A6ED51569}">
  <dimension ref="A1:C66"/>
  <sheetViews>
    <sheetView topLeftCell="A8" workbookViewId="0">
      <selection activeCell="B44" sqref="B44"/>
    </sheetView>
  </sheetViews>
  <sheetFormatPr baseColWidth="10" defaultRowHeight="15" x14ac:dyDescent="0.25"/>
  <cols>
    <col min="1" max="1" width="46.7109375" style="18" customWidth="1"/>
    <col min="2" max="3" width="13.7109375" style="18" customWidth="1"/>
    <col min="4" max="4" width="11.42578125" style="18"/>
    <col min="5" max="5" width="11.85546875" style="18" bestFit="1" customWidth="1"/>
    <col min="6" max="16384" width="11.42578125" style="18"/>
  </cols>
  <sheetData>
    <row r="1" spans="1:3" x14ac:dyDescent="0.25">
      <c r="A1" s="19" t="s">
        <v>67</v>
      </c>
      <c r="B1" s="56">
        <v>0</v>
      </c>
      <c r="C1" s="57"/>
    </row>
    <row r="2" spans="1:3" x14ac:dyDescent="0.25">
      <c r="A2" s="20" t="s">
        <v>68</v>
      </c>
      <c r="B2" s="58" t="s">
        <v>91</v>
      </c>
      <c r="C2" s="59"/>
    </row>
    <row r="3" spans="1:3" x14ac:dyDescent="0.25">
      <c r="A3" s="20" t="s">
        <v>92</v>
      </c>
      <c r="B3" s="6">
        <v>2023</v>
      </c>
      <c r="C3" s="7">
        <v>2022</v>
      </c>
    </row>
    <row r="4" spans="1:3" x14ac:dyDescent="0.25">
      <c r="A4" s="2" t="s">
        <v>71</v>
      </c>
      <c r="B4" s="2" t="s">
        <v>90</v>
      </c>
      <c r="C4" s="3" t="s">
        <v>90</v>
      </c>
    </row>
    <row r="5" spans="1:3" x14ac:dyDescent="0.25">
      <c r="A5" s="4" t="s">
        <v>1</v>
      </c>
      <c r="B5" s="12" t="s">
        <v>90</v>
      </c>
      <c r="C5" s="13" t="s">
        <v>90</v>
      </c>
    </row>
    <row r="6" spans="1:3" x14ac:dyDescent="0.25">
      <c r="A6" s="28" t="s">
        <v>2</v>
      </c>
      <c r="B6" s="46">
        <v>29179</v>
      </c>
      <c r="C6" s="13">
        <v>28613</v>
      </c>
    </row>
    <row r="7" spans="1:3" x14ac:dyDescent="0.25">
      <c r="A7" s="4" t="s">
        <v>3</v>
      </c>
      <c r="B7" s="12">
        <v>392</v>
      </c>
      <c r="C7" s="13">
        <v>1523</v>
      </c>
    </row>
    <row r="8" spans="1:3" x14ac:dyDescent="0.25">
      <c r="A8" s="4"/>
      <c r="B8" s="60"/>
      <c r="C8" s="61"/>
    </row>
    <row r="9" spans="1:3" x14ac:dyDescent="0.25">
      <c r="A9" s="2" t="s">
        <v>72</v>
      </c>
      <c r="B9" s="23" t="s">
        <v>55</v>
      </c>
      <c r="C9" s="24" t="s">
        <v>55</v>
      </c>
    </row>
    <row r="10" spans="1:3" x14ac:dyDescent="0.25">
      <c r="A10" s="4" t="s">
        <v>5</v>
      </c>
      <c r="B10" s="12">
        <v>8864</v>
      </c>
      <c r="C10" s="13">
        <v>8544</v>
      </c>
    </row>
    <row r="11" spans="1:3" x14ac:dyDescent="0.25">
      <c r="A11" s="4" t="s">
        <v>6</v>
      </c>
      <c r="B11" s="12">
        <v>28717</v>
      </c>
      <c r="C11" s="13">
        <v>28137</v>
      </c>
    </row>
    <row r="12" spans="1:3" x14ac:dyDescent="0.25">
      <c r="A12" s="4" t="s">
        <v>7</v>
      </c>
      <c r="B12" s="12">
        <v>12967</v>
      </c>
      <c r="C12" s="13">
        <v>12481</v>
      </c>
    </row>
    <row r="13" spans="1:3" x14ac:dyDescent="0.25">
      <c r="A13" s="4"/>
      <c r="B13" s="60"/>
      <c r="C13" s="61"/>
    </row>
    <row r="14" spans="1:3" x14ac:dyDescent="0.25">
      <c r="A14" s="2" t="s">
        <v>74</v>
      </c>
      <c r="B14" s="23" t="s">
        <v>55</v>
      </c>
      <c r="C14" s="24" t="s">
        <v>55</v>
      </c>
    </row>
    <row r="15" spans="1:3" x14ac:dyDescent="0.25">
      <c r="A15" s="4" t="s">
        <v>70</v>
      </c>
      <c r="B15" s="25">
        <v>914</v>
      </c>
      <c r="C15" s="26">
        <v>698</v>
      </c>
    </row>
    <row r="16" spans="1:3" x14ac:dyDescent="0.25">
      <c r="A16" s="4" t="s">
        <v>75</v>
      </c>
      <c r="B16" s="25">
        <v>145</v>
      </c>
      <c r="C16" s="26">
        <v>386</v>
      </c>
    </row>
    <row r="17" spans="1:3" x14ac:dyDescent="0.25">
      <c r="A17" s="4" t="s">
        <v>76</v>
      </c>
      <c r="B17" s="25">
        <f>676-190</f>
        <v>486</v>
      </c>
      <c r="C17" s="26">
        <f>394-107</f>
        <v>287</v>
      </c>
    </row>
    <row r="18" spans="1:3" x14ac:dyDescent="0.25">
      <c r="A18" s="4" t="s">
        <v>9</v>
      </c>
      <c r="B18" s="25">
        <f>B7+B15+B16+B17</f>
        <v>1937</v>
      </c>
      <c r="C18" s="26">
        <f>C7+C15+C16+C17</f>
        <v>2894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3" t="s">
        <v>55</v>
      </c>
      <c r="C20" s="24" t="s">
        <v>55</v>
      </c>
    </row>
    <row r="21" spans="1:3" x14ac:dyDescent="0.25">
      <c r="A21" s="28" t="s">
        <v>77</v>
      </c>
      <c r="B21" s="10">
        <f>B7/B6</f>
        <v>1.3434319202165942E-2</v>
      </c>
      <c r="C21" s="17">
        <f>C7/C6</f>
        <v>5.3227553909062315E-2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3" t="s">
        <v>55</v>
      </c>
      <c r="C23" s="24" t="s">
        <v>55</v>
      </c>
    </row>
    <row r="24" spans="1:3" x14ac:dyDescent="0.25">
      <c r="A24" s="29" t="s">
        <v>78</v>
      </c>
      <c r="B24" s="47">
        <v>43.71</v>
      </c>
      <c r="C24" s="33">
        <v>57.08</v>
      </c>
    </row>
    <row r="25" spans="1:3" x14ac:dyDescent="0.25">
      <c r="A25" s="29" t="s">
        <v>80</v>
      </c>
      <c r="B25" s="30">
        <f>B16/(B7+B16)</f>
        <v>0.27001862197392923</v>
      </c>
      <c r="C25" s="31">
        <f>C16/(C7+C16)</f>
        <v>0.20220010476689365</v>
      </c>
    </row>
    <row r="26" spans="1:3" x14ac:dyDescent="0.25">
      <c r="A26" s="28" t="s">
        <v>11</v>
      </c>
      <c r="B26" s="10">
        <f>((B7+(1-B25)*B17)+B24)/AVERAGE(B11:C11)</f>
        <v>2.7807399645431118E-2</v>
      </c>
      <c r="C26" s="17">
        <f>(C7+(1-C25)*C17+C24)/C11</f>
        <v>6.4294294698507351E-2</v>
      </c>
    </row>
    <row r="27" spans="1:3" x14ac:dyDescent="0.25">
      <c r="B27" s="60"/>
      <c r="C27" s="61"/>
    </row>
    <row r="28" spans="1:3" x14ac:dyDescent="0.25">
      <c r="A28" s="2" t="s">
        <v>81</v>
      </c>
      <c r="B28" s="23" t="s">
        <v>55</v>
      </c>
      <c r="C28" s="24" t="s">
        <v>55</v>
      </c>
    </row>
    <row r="29" spans="1:3" x14ac:dyDescent="0.25">
      <c r="A29" s="4" t="s">
        <v>13</v>
      </c>
      <c r="B29" s="16">
        <f>B7/AVERAGE(B12:C12)</f>
        <v>3.0807922037095252E-2</v>
      </c>
      <c r="C29" s="17">
        <f>C7/C12</f>
        <v>0.12202547872766606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3" t="s">
        <v>55</v>
      </c>
      <c r="C31" s="24" t="s">
        <v>55</v>
      </c>
    </row>
    <row r="32" spans="1:3" x14ac:dyDescent="0.25">
      <c r="A32" s="4" t="s">
        <v>15</v>
      </c>
      <c r="B32" s="34">
        <f>(B11-B12)/B12</f>
        <v>1.2146217320891495</v>
      </c>
      <c r="C32" s="36">
        <f>(C11-C12)/C12</f>
        <v>1.2543866677349571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3" t="s">
        <v>55</v>
      </c>
      <c r="C34" s="24" t="s">
        <v>55</v>
      </c>
    </row>
    <row r="35" spans="1:3" x14ac:dyDescent="0.25">
      <c r="A35" s="28" t="s">
        <v>21</v>
      </c>
      <c r="B35" s="37">
        <f>(B7+B17+B16)/B17</f>
        <v>2.1049382716049383</v>
      </c>
      <c r="C35" s="35">
        <f>(C7+C17+C16)/C17</f>
        <v>7.6515679442508713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3" t="s">
        <v>55</v>
      </c>
      <c r="C37" s="24" t="s">
        <v>55</v>
      </c>
    </row>
    <row r="38" spans="1:3" x14ac:dyDescent="0.25">
      <c r="A38" s="4" t="s">
        <v>66</v>
      </c>
      <c r="B38" s="14">
        <v>2510</v>
      </c>
      <c r="C38" s="26">
        <v>2698</v>
      </c>
    </row>
    <row r="39" spans="1:3" x14ac:dyDescent="0.25">
      <c r="A39" s="29" t="s">
        <v>87</v>
      </c>
      <c r="B39" s="39">
        <v>25435</v>
      </c>
      <c r="C39" s="40">
        <v>23557</v>
      </c>
    </row>
    <row r="40" spans="1:3" x14ac:dyDescent="0.25">
      <c r="A40" s="29" t="s">
        <v>88</v>
      </c>
      <c r="B40" s="41">
        <f>B39/AVERAGE(B38:C38)</f>
        <v>9.7676651305683571</v>
      </c>
      <c r="C40" s="42">
        <f>C39/C38</f>
        <v>8.7312824314306887</v>
      </c>
    </row>
    <row r="41" spans="1:3" x14ac:dyDescent="0.25">
      <c r="A41" s="29" t="s">
        <v>89</v>
      </c>
      <c r="B41" s="41">
        <f>365/B40</f>
        <v>37.368193434244148</v>
      </c>
      <c r="C41" s="42">
        <f>365/C40</f>
        <v>41.803710149849302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3"/>
      <c r="C43" s="24"/>
    </row>
    <row r="44" spans="1:3" x14ac:dyDescent="0.25">
      <c r="A44" s="4" t="s">
        <v>86</v>
      </c>
      <c r="B44" s="25">
        <v>4717</v>
      </c>
      <c r="C44" s="26">
        <v>5082</v>
      </c>
    </row>
    <row r="45" spans="1:3" x14ac:dyDescent="0.25">
      <c r="A45" s="28" t="s">
        <v>19</v>
      </c>
      <c r="B45" s="38">
        <f>(B10-B38)/B44</f>
        <v>1.3470426118295526</v>
      </c>
      <c r="C45" s="36">
        <f>(C10-C38)/C44</f>
        <v>1.1503345139708776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A48:A66"/>
    <mergeCell ref="B48:C66"/>
    <mergeCell ref="B27:C27"/>
    <mergeCell ref="B30:C30"/>
    <mergeCell ref="B33:C33"/>
    <mergeCell ref="B36:C36"/>
    <mergeCell ref="B42:C42"/>
    <mergeCell ref="B46:C46"/>
    <mergeCell ref="B22:C22"/>
    <mergeCell ref="B1:C1"/>
    <mergeCell ref="B2:C2"/>
    <mergeCell ref="B8:C8"/>
    <mergeCell ref="B13:C13"/>
    <mergeCell ref="B19:C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D501D-C221-4B23-8581-CDC4A8171389}">
  <dimension ref="A1:C66"/>
  <sheetViews>
    <sheetView topLeftCell="A9" workbookViewId="0">
      <selection activeCell="B44" sqref="B44"/>
    </sheetView>
  </sheetViews>
  <sheetFormatPr baseColWidth="10" defaultRowHeight="15" x14ac:dyDescent="0.25"/>
  <cols>
    <col min="1" max="1" width="46.7109375" style="18" customWidth="1"/>
    <col min="2" max="3" width="13.7109375" style="18" customWidth="1"/>
    <col min="4" max="4" width="11.42578125" style="18"/>
    <col min="5" max="5" width="11.85546875" style="18" bestFit="1" customWidth="1"/>
    <col min="6" max="16384" width="11.42578125" style="18"/>
  </cols>
  <sheetData>
    <row r="1" spans="1:3" x14ac:dyDescent="0.25">
      <c r="A1" s="19" t="s">
        <v>67</v>
      </c>
      <c r="B1" s="56">
        <v>0</v>
      </c>
      <c r="C1" s="57"/>
    </row>
    <row r="2" spans="1:3" x14ac:dyDescent="0.25">
      <c r="A2" s="20" t="s">
        <v>68</v>
      </c>
      <c r="B2" s="58" t="s">
        <v>93</v>
      </c>
      <c r="C2" s="59"/>
    </row>
    <row r="3" spans="1:3" x14ac:dyDescent="0.25">
      <c r="A3" s="20" t="s">
        <v>94</v>
      </c>
      <c r="B3" s="6">
        <v>2023</v>
      </c>
      <c r="C3" s="7">
        <v>2022</v>
      </c>
    </row>
    <row r="4" spans="1:3" x14ac:dyDescent="0.25">
      <c r="A4" s="2" t="s">
        <v>71</v>
      </c>
      <c r="B4" s="2" t="s">
        <v>55</v>
      </c>
      <c r="C4" s="3" t="s">
        <v>55</v>
      </c>
    </row>
    <row r="5" spans="1:3" x14ac:dyDescent="0.25">
      <c r="A5" s="4" t="s">
        <v>1</v>
      </c>
      <c r="B5" s="12" t="s">
        <v>55</v>
      </c>
      <c r="C5" s="13" t="s">
        <v>55</v>
      </c>
    </row>
    <row r="6" spans="1:3" x14ac:dyDescent="0.25">
      <c r="A6" s="28" t="s">
        <v>2</v>
      </c>
      <c r="B6" s="48">
        <v>8099816</v>
      </c>
      <c r="C6" s="13">
        <v>7821345</v>
      </c>
    </row>
    <row r="7" spans="1:3" x14ac:dyDescent="0.25">
      <c r="A7" s="4" t="s">
        <v>3</v>
      </c>
      <c r="B7" s="12">
        <v>470427</v>
      </c>
      <c r="C7" s="13">
        <v>1005382</v>
      </c>
    </row>
    <row r="8" spans="1:3" x14ac:dyDescent="0.25">
      <c r="A8" s="4"/>
      <c r="B8" s="60"/>
      <c r="C8" s="61"/>
    </row>
    <row r="9" spans="1:3" x14ac:dyDescent="0.25">
      <c r="A9" s="2" t="s">
        <v>72</v>
      </c>
      <c r="B9" s="23" t="s">
        <v>55</v>
      </c>
      <c r="C9" s="24" t="s">
        <v>55</v>
      </c>
    </row>
    <row r="10" spans="1:3" x14ac:dyDescent="0.25">
      <c r="A10" s="4" t="s">
        <v>5</v>
      </c>
      <c r="B10" s="12">
        <v>4572339</v>
      </c>
      <c r="C10" s="13">
        <v>4683116</v>
      </c>
    </row>
    <row r="11" spans="1:3" x14ac:dyDescent="0.25">
      <c r="A11" s="4" t="s">
        <v>6</v>
      </c>
      <c r="B11" s="12">
        <v>17177308</v>
      </c>
      <c r="C11" s="13">
        <v>16571979</v>
      </c>
    </row>
    <row r="12" spans="1:3" x14ac:dyDescent="0.25">
      <c r="A12" s="4" t="s">
        <v>7</v>
      </c>
      <c r="B12" s="12">
        <v>7884897</v>
      </c>
      <c r="C12" s="13">
        <v>7910821</v>
      </c>
    </row>
    <row r="13" spans="1:3" x14ac:dyDescent="0.25">
      <c r="A13" s="4"/>
      <c r="B13" s="60"/>
      <c r="C13" s="61"/>
    </row>
    <row r="14" spans="1:3" x14ac:dyDescent="0.25">
      <c r="A14" s="2" t="s">
        <v>74</v>
      </c>
      <c r="B14" s="23" t="s">
        <v>55</v>
      </c>
      <c r="C14" s="24" t="s">
        <v>55</v>
      </c>
    </row>
    <row r="15" spans="1:3" x14ac:dyDescent="0.25">
      <c r="A15" s="4" t="s">
        <v>70</v>
      </c>
      <c r="B15" s="14">
        <v>545099</v>
      </c>
      <c r="C15" s="15">
        <v>494262</v>
      </c>
    </row>
    <row r="16" spans="1:3" x14ac:dyDescent="0.25">
      <c r="A16" s="4" t="s">
        <v>75</v>
      </c>
      <c r="B16" s="14">
        <v>120174</v>
      </c>
      <c r="C16" s="15">
        <v>354980</v>
      </c>
    </row>
    <row r="17" spans="1:3" x14ac:dyDescent="0.25">
      <c r="A17" s="4" t="s">
        <v>76</v>
      </c>
      <c r="B17" s="14">
        <f>264782-77797</f>
        <v>186985</v>
      </c>
      <c r="C17" s="15">
        <f>216483-44342</f>
        <v>172141</v>
      </c>
    </row>
    <row r="18" spans="1:3" x14ac:dyDescent="0.25">
      <c r="A18" s="4" t="s">
        <v>9</v>
      </c>
      <c r="B18" s="14">
        <f>B7+B15+B16+B17</f>
        <v>1322685</v>
      </c>
      <c r="C18" s="15">
        <f>C7+C15+C16+C17</f>
        <v>2026765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3" t="s">
        <v>55</v>
      </c>
      <c r="C20" s="24" t="s">
        <v>55</v>
      </c>
    </row>
    <row r="21" spans="1:3" x14ac:dyDescent="0.25">
      <c r="A21" s="28" t="s">
        <v>77</v>
      </c>
      <c r="B21" s="10">
        <f>B7/B6</f>
        <v>5.8078726726631814E-2</v>
      </c>
      <c r="C21" s="17">
        <f>C7/C6</f>
        <v>0.1285433643446236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3" t="s">
        <v>55</v>
      </c>
      <c r="C23" s="24" t="s">
        <v>55</v>
      </c>
    </row>
    <row r="24" spans="1:3" x14ac:dyDescent="0.25">
      <c r="A24" s="29" t="s">
        <v>78</v>
      </c>
      <c r="B24" s="32">
        <v>5</v>
      </c>
      <c r="C24" s="33">
        <v>7</v>
      </c>
    </row>
    <row r="25" spans="1:3" x14ac:dyDescent="0.25">
      <c r="A25" s="29" t="s">
        <v>80</v>
      </c>
      <c r="B25" s="30">
        <f>B16/(B7+B16)</f>
        <v>0.20347747464023935</v>
      </c>
      <c r="C25" s="31">
        <f>C16/(C7+C16)</f>
        <v>0.2609452483971178</v>
      </c>
    </row>
    <row r="26" spans="1:3" x14ac:dyDescent="0.25">
      <c r="A26" s="28" t="s">
        <v>11</v>
      </c>
      <c r="B26" s="10">
        <f>((B7+(1-B25)*B17)+B24)/AVERAGE(B11:C11)</f>
        <v>3.6704168855738781E-2</v>
      </c>
      <c r="C26" s="17">
        <f>(C7+(1-C25)*C17+C24)/C11</f>
        <v>6.8344922715366213E-2</v>
      </c>
    </row>
    <row r="27" spans="1:3" x14ac:dyDescent="0.25">
      <c r="B27" s="60"/>
      <c r="C27" s="61"/>
    </row>
    <row r="28" spans="1:3" x14ac:dyDescent="0.25">
      <c r="A28" s="2" t="s">
        <v>81</v>
      </c>
      <c r="B28" s="23" t="s">
        <v>55</v>
      </c>
      <c r="C28" s="24" t="s">
        <v>55</v>
      </c>
    </row>
    <row r="29" spans="1:3" x14ac:dyDescent="0.25">
      <c r="A29" s="4" t="s">
        <v>13</v>
      </c>
      <c r="B29" s="16">
        <f>B7/AVERAGE(B12:C12)</f>
        <v>5.9563864080126018E-2</v>
      </c>
      <c r="C29" s="17">
        <f>C7/C12</f>
        <v>0.12708946391278478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3" t="s">
        <v>55</v>
      </c>
      <c r="C31" s="24" t="s">
        <v>55</v>
      </c>
    </row>
    <row r="32" spans="1:3" x14ac:dyDescent="0.25">
      <c r="A32" s="4" t="s">
        <v>15</v>
      </c>
      <c r="B32" s="34">
        <f>(B11-B12)/B12</f>
        <v>1.1785075949628765</v>
      </c>
      <c r="C32" s="36">
        <f>(C11-C12)/C12</f>
        <v>1.0948494473582451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3" t="s">
        <v>55</v>
      </c>
      <c r="C34" s="24" t="s">
        <v>55</v>
      </c>
    </row>
    <row r="35" spans="1:3" x14ac:dyDescent="0.25">
      <c r="A35" s="28" t="s">
        <v>21</v>
      </c>
      <c r="B35" s="37">
        <f>(B7+B17+B16)/B17</f>
        <v>4.1585474770703534</v>
      </c>
      <c r="C35" s="35">
        <f>(C7+C17+C16)/C17</f>
        <v>8.9026030986226399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3" t="s">
        <v>55</v>
      </c>
      <c r="C37" s="24" t="s">
        <v>55</v>
      </c>
    </row>
    <row r="38" spans="1:3" x14ac:dyDescent="0.25">
      <c r="A38" s="4" t="s">
        <v>66</v>
      </c>
      <c r="B38" s="14">
        <v>1555429</v>
      </c>
      <c r="C38" s="26">
        <v>1720023</v>
      </c>
    </row>
    <row r="39" spans="1:3" x14ac:dyDescent="0.25">
      <c r="A39" s="29" t="s">
        <v>87</v>
      </c>
      <c r="B39" s="39">
        <v>6345528</v>
      </c>
      <c r="C39" s="40">
        <v>5542264</v>
      </c>
    </row>
    <row r="40" spans="1:3" x14ac:dyDescent="0.25">
      <c r="A40" s="29" t="s">
        <v>88</v>
      </c>
      <c r="B40" s="41">
        <f>B39/AVERAGE(B38:C38)</f>
        <v>3.8745968495340493</v>
      </c>
      <c r="C40" s="42">
        <f>C39/C38</f>
        <v>3.2222034240239812</v>
      </c>
    </row>
    <row r="41" spans="1:3" x14ac:dyDescent="0.25">
      <c r="A41" s="29" t="s">
        <v>89</v>
      </c>
      <c r="B41" s="41">
        <f>365/B40</f>
        <v>94.203349193321657</v>
      </c>
      <c r="C41" s="42">
        <f>365/C40</f>
        <v>113.27652291554497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3"/>
      <c r="C43" s="24"/>
    </row>
    <row r="44" spans="1:3" x14ac:dyDescent="0.25">
      <c r="A44" s="4" t="s">
        <v>86</v>
      </c>
      <c r="B44" s="25">
        <v>2476374</v>
      </c>
      <c r="C44" s="26">
        <v>2399407</v>
      </c>
    </row>
    <row r="45" spans="1:3" x14ac:dyDescent="0.25">
      <c r="A45" s="28" t="s">
        <v>19</v>
      </c>
      <c r="B45" s="38">
        <f>(B10-B38)/B44</f>
        <v>1.2182772069162413</v>
      </c>
      <c r="C45" s="36">
        <f>(C10-C38)/C44</f>
        <v>1.2349272132656111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A48:A66"/>
    <mergeCell ref="B48:C66"/>
    <mergeCell ref="B27:C27"/>
    <mergeCell ref="B30:C30"/>
    <mergeCell ref="B33:C33"/>
    <mergeCell ref="B36:C36"/>
    <mergeCell ref="B42:C42"/>
    <mergeCell ref="B46:C46"/>
    <mergeCell ref="B22:C22"/>
    <mergeCell ref="B1:C1"/>
    <mergeCell ref="B2:C2"/>
    <mergeCell ref="B8:C8"/>
    <mergeCell ref="B13:C13"/>
    <mergeCell ref="B19:C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68039-2B37-461A-98D8-1C05EEC6ABD4}">
  <dimension ref="A1:E66"/>
  <sheetViews>
    <sheetView zoomScale="80" workbookViewId="0">
      <selection activeCell="B25" sqref="B25"/>
    </sheetView>
  </sheetViews>
  <sheetFormatPr baseColWidth="10" defaultRowHeight="15" x14ac:dyDescent="0.25"/>
  <cols>
    <col min="1" max="1" width="46.7109375" style="18" customWidth="1"/>
    <col min="2" max="3" width="16.28515625" style="18" bestFit="1" customWidth="1"/>
    <col min="4" max="4" width="11.42578125" style="18"/>
    <col min="5" max="5" width="11.85546875" style="18" bestFit="1" customWidth="1"/>
    <col min="6" max="16384" width="11.42578125" style="18"/>
  </cols>
  <sheetData>
    <row r="1" spans="1:5" x14ac:dyDescent="0.25">
      <c r="A1" s="19" t="s">
        <v>67</v>
      </c>
      <c r="B1" s="56">
        <v>0</v>
      </c>
      <c r="C1" s="57"/>
    </row>
    <row r="2" spans="1:5" x14ac:dyDescent="0.25">
      <c r="A2" s="20" t="s">
        <v>68</v>
      </c>
      <c r="B2" s="58" t="s">
        <v>96</v>
      </c>
      <c r="C2" s="59"/>
    </row>
    <row r="3" spans="1:5" x14ac:dyDescent="0.25">
      <c r="A3" s="20" t="s">
        <v>97</v>
      </c>
      <c r="B3" s="6">
        <v>2023</v>
      </c>
      <c r="C3" s="7">
        <v>2022</v>
      </c>
    </row>
    <row r="4" spans="1:5" x14ac:dyDescent="0.25">
      <c r="A4" s="2" t="s">
        <v>71</v>
      </c>
      <c r="B4" s="2" t="s">
        <v>95</v>
      </c>
      <c r="C4" s="3" t="s">
        <v>95</v>
      </c>
    </row>
    <row r="5" spans="1:5" x14ac:dyDescent="0.25">
      <c r="A5" s="4" t="s">
        <v>1</v>
      </c>
      <c r="B5" s="12" t="s">
        <v>95</v>
      </c>
      <c r="C5" s="13" t="s">
        <v>95</v>
      </c>
      <c r="E5" s="18" t="s">
        <v>95</v>
      </c>
    </row>
    <row r="6" spans="1:5" x14ac:dyDescent="0.25">
      <c r="A6" s="28" t="s">
        <v>2</v>
      </c>
      <c r="B6" s="48">
        <v>2565556067</v>
      </c>
      <c r="C6" s="13">
        <v>2711434948</v>
      </c>
    </row>
    <row r="7" spans="1:5" x14ac:dyDescent="0.25">
      <c r="A7" s="4" t="s">
        <v>3</v>
      </c>
      <c r="B7" s="12">
        <v>118425443</v>
      </c>
      <c r="C7" s="13">
        <v>135484452</v>
      </c>
    </row>
    <row r="8" spans="1:5" x14ac:dyDescent="0.25">
      <c r="A8" s="4"/>
      <c r="B8" s="60"/>
      <c r="C8" s="61"/>
    </row>
    <row r="9" spans="1:5" x14ac:dyDescent="0.25">
      <c r="A9" s="2" t="s">
        <v>72</v>
      </c>
      <c r="B9" s="23" t="s">
        <v>95</v>
      </c>
      <c r="C9" s="24" t="s">
        <v>95</v>
      </c>
    </row>
    <row r="10" spans="1:5" x14ac:dyDescent="0.25">
      <c r="A10" s="4" t="s">
        <v>5</v>
      </c>
      <c r="B10" s="12">
        <v>1601683087</v>
      </c>
      <c r="C10" s="13">
        <v>1661948432</v>
      </c>
    </row>
    <row r="11" spans="1:5" x14ac:dyDescent="0.25">
      <c r="A11" s="4" t="s">
        <v>6</v>
      </c>
      <c r="B11" s="12">
        <v>3423946280</v>
      </c>
      <c r="C11" s="13">
        <v>3595078979</v>
      </c>
    </row>
    <row r="12" spans="1:5" x14ac:dyDescent="0.25">
      <c r="A12" s="4" t="s">
        <v>7</v>
      </c>
      <c r="B12" s="12">
        <v>1337382581</v>
      </c>
      <c r="C12" s="13">
        <v>1435969053</v>
      </c>
    </row>
    <row r="13" spans="1:5" x14ac:dyDescent="0.25">
      <c r="A13" s="4"/>
      <c r="B13" s="60"/>
      <c r="C13" s="61"/>
    </row>
    <row r="14" spans="1:5" x14ac:dyDescent="0.25">
      <c r="A14" s="2" t="s">
        <v>74</v>
      </c>
      <c r="B14" s="23" t="s">
        <v>95</v>
      </c>
      <c r="C14" s="24" t="s">
        <v>95</v>
      </c>
    </row>
    <row r="15" spans="1:5" x14ac:dyDescent="0.25">
      <c r="A15" s="4" t="s">
        <v>70</v>
      </c>
      <c r="B15" s="14">
        <v>126119198</v>
      </c>
      <c r="C15" s="15">
        <v>126497493</v>
      </c>
    </row>
    <row r="16" spans="1:5" x14ac:dyDescent="0.25">
      <c r="A16" s="4" t="s">
        <v>75</v>
      </c>
      <c r="B16" s="14">
        <v>-15267255</v>
      </c>
      <c r="C16" s="15">
        <v>263943</v>
      </c>
    </row>
    <row r="17" spans="1:3" x14ac:dyDescent="0.25">
      <c r="A17" s="4" t="s">
        <v>76</v>
      </c>
      <c r="B17" s="14">
        <f>77023048-39402492</f>
        <v>37620556</v>
      </c>
      <c r="C17" s="15">
        <f>75930875-22870538</f>
        <v>53060337</v>
      </c>
    </row>
    <row r="18" spans="1:3" x14ac:dyDescent="0.25">
      <c r="A18" s="4" t="s">
        <v>9</v>
      </c>
      <c r="B18" s="14">
        <f>B7+B15+B16+B17</f>
        <v>266897942</v>
      </c>
      <c r="C18" s="15">
        <f>C7+C15+C16+C17</f>
        <v>315306225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3" t="s">
        <v>95</v>
      </c>
      <c r="C20" s="24" t="s">
        <v>95</v>
      </c>
    </row>
    <row r="21" spans="1:3" x14ac:dyDescent="0.25">
      <c r="A21" s="28" t="s">
        <v>77</v>
      </c>
      <c r="B21" s="10">
        <f>B7/B6</f>
        <v>4.6159756367546184E-2</v>
      </c>
      <c r="C21" s="17">
        <f>C7/C6</f>
        <v>4.9967804722711714E-2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3" t="s">
        <v>95</v>
      </c>
      <c r="C23" s="24" t="s">
        <v>95</v>
      </c>
    </row>
    <row r="24" spans="1:3" x14ac:dyDescent="0.25">
      <c r="A24" s="29" t="s">
        <v>78</v>
      </c>
      <c r="B24" s="32">
        <v>12772715</v>
      </c>
      <c r="C24" s="33">
        <v>17316101</v>
      </c>
    </row>
    <row r="25" spans="1:3" x14ac:dyDescent="0.25">
      <c r="A25" s="29" t="s">
        <v>80</v>
      </c>
      <c r="B25" s="30">
        <f>B16/(B7+B16)</f>
        <v>-0.14799847977166872</v>
      </c>
      <c r="C25" s="31">
        <f>C16/(C7+C16)</f>
        <v>1.9443544802131914E-3</v>
      </c>
    </row>
    <row r="26" spans="1:3" x14ac:dyDescent="0.25">
      <c r="A26" s="28" t="s">
        <v>11</v>
      </c>
      <c r="B26" s="10">
        <f>((B7+(1-B25)*B17)+B24)/AVERAGE(B11:C11)</f>
        <v>4.9689662784034423E-2</v>
      </c>
      <c r="C26" s="17">
        <f>(C7+(1-C25)*C17+C24)/C11</f>
        <v>5.7233157629617802E-2</v>
      </c>
    </row>
    <row r="27" spans="1:3" x14ac:dyDescent="0.25">
      <c r="B27" s="60"/>
      <c r="C27" s="61"/>
    </row>
    <row r="28" spans="1:3" x14ac:dyDescent="0.25">
      <c r="A28" s="2" t="s">
        <v>81</v>
      </c>
      <c r="B28" s="23" t="s">
        <v>95</v>
      </c>
      <c r="C28" s="24" t="s">
        <v>95</v>
      </c>
    </row>
    <row r="29" spans="1:3" x14ac:dyDescent="0.25">
      <c r="A29" s="4" t="s">
        <v>13</v>
      </c>
      <c r="B29" s="16">
        <f>B7/AVERAGE(B12:C12)</f>
        <v>8.5402400148729213E-2</v>
      </c>
      <c r="C29" s="17">
        <f>C7/C12</f>
        <v>9.4350537511200802E-2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3" t="s">
        <v>95</v>
      </c>
      <c r="C31" s="24" t="s">
        <v>95</v>
      </c>
    </row>
    <row r="32" spans="1:3" x14ac:dyDescent="0.25">
      <c r="A32" s="4" t="s">
        <v>15</v>
      </c>
      <c r="B32" s="34">
        <f>(B11-B12)/B12</f>
        <v>1.5601845938802459</v>
      </c>
      <c r="C32" s="36">
        <f>(C11-C12)/C12</f>
        <v>1.503590847928949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3" t="s">
        <v>95</v>
      </c>
      <c r="C34" s="24" t="s">
        <v>95</v>
      </c>
    </row>
    <row r="35" spans="1:3" x14ac:dyDescent="0.25">
      <c r="A35" s="28" t="s">
        <v>21</v>
      </c>
      <c r="B35" s="37">
        <f>(B7+B17+B16)/B17</f>
        <v>3.7420697344292306</v>
      </c>
      <c r="C35" s="35">
        <f>(C7+C17+C16)/C17</f>
        <v>3.55837792737728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3" t="s">
        <v>95</v>
      </c>
      <c r="C37" s="24" t="s">
        <v>95</v>
      </c>
    </row>
    <row r="38" spans="1:3" x14ac:dyDescent="0.25">
      <c r="A38" s="4" t="s">
        <v>66</v>
      </c>
      <c r="B38" s="14">
        <v>425728432</v>
      </c>
      <c r="C38" s="26">
        <v>480799534</v>
      </c>
    </row>
    <row r="39" spans="1:3" x14ac:dyDescent="0.25">
      <c r="A39" s="29" t="s">
        <v>87</v>
      </c>
      <c r="B39" s="32">
        <v>1378611966</v>
      </c>
      <c r="C39" s="33">
        <v>1514925309</v>
      </c>
    </row>
    <row r="40" spans="1:3" x14ac:dyDescent="0.25">
      <c r="A40" s="29" t="s">
        <v>88</v>
      </c>
      <c r="B40" s="41">
        <f>B39/AVERAGE(B38:C38)</f>
        <v>3.0415210952245459</v>
      </c>
      <c r="C40" s="42">
        <f>C39/C38</f>
        <v>3.1508460426253242</v>
      </c>
    </row>
    <row r="41" spans="1:3" x14ac:dyDescent="0.25">
      <c r="A41" s="29" t="s">
        <v>89</v>
      </c>
      <c r="B41" s="41">
        <f>365/B40</f>
        <v>120.00574336738349</v>
      </c>
      <c r="C41" s="42">
        <f>365/C40</f>
        <v>115.8419024802232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3" t="s">
        <v>95</v>
      </c>
      <c r="C43" s="24" t="s">
        <v>95</v>
      </c>
    </row>
    <row r="44" spans="1:3" x14ac:dyDescent="0.25">
      <c r="A44" s="4" t="s">
        <v>86</v>
      </c>
      <c r="B44" s="25">
        <v>687482634</v>
      </c>
      <c r="C44" s="26">
        <v>797152420</v>
      </c>
    </row>
    <row r="45" spans="1:3" x14ac:dyDescent="0.25">
      <c r="A45" s="28" t="s">
        <v>19</v>
      </c>
      <c r="B45" s="38">
        <f>(B10-B38)/B44</f>
        <v>1.7105227053633474</v>
      </c>
      <c r="C45" s="36">
        <f>(C10-C38)/C44</f>
        <v>1.4817102330317207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A48:A66"/>
    <mergeCell ref="B48:C66"/>
    <mergeCell ref="B27:C27"/>
    <mergeCell ref="B30:C30"/>
    <mergeCell ref="B33:C33"/>
    <mergeCell ref="B36:C36"/>
    <mergeCell ref="B42:C42"/>
    <mergeCell ref="B46:C46"/>
    <mergeCell ref="B22:C22"/>
    <mergeCell ref="B1:C1"/>
    <mergeCell ref="B2:C2"/>
    <mergeCell ref="B8:C8"/>
    <mergeCell ref="B13:C13"/>
    <mergeCell ref="B19:C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554379-ACB2-42FF-8ABD-5B1255D79035}">
  <dimension ref="A1:E66"/>
  <sheetViews>
    <sheetView topLeftCell="B34" workbookViewId="0">
      <selection activeCell="L15" sqref="L15"/>
    </sheetView>
  </sheetViews>
  <sheetFormatPr baseColWidth="10" defaultRowHeight="15" x14ac:dyDescent="0.25"/>
  <cols>
    <col min="1" max="1" width="46.7109375" style="18" customWidth="1"/>
    <col min="2" max="3" width="13.7109375" style="18" customWidth="1"/>
    <col min="4" max="4" width="11.42578125" style="18"/>
    <col min="5" max="5" width="11.85546875" style="18" bestFit="1" customWidth="1"/>
    <col min="6" max="16384" width="11.42578125" style="18"/>
  </cols>
  <sheetData>
    <row r="1" spans="1:5" x14ac:dyDescent="0.25">
      <c r="A1" s="19" t="s">
        <v>67</v>
      </c>
      <c r="B1" s="56">
        <v>0</v>
      </c>
      <c r="C1" s="57"/>
    </row>
    <row r="2" spans="1:5" x14ac:dyDescent="0.25">
      <c r="A2" s="20" t="s">
        <v>68</v>
      </c>
      <c r="B2" s="58" t="s">
        <v>98</v>
      </c>
      <c r="C2" s="59"/>
    </row>
    <row r="3" spans="1:5" x14ac:dyDescent="0.25">
      <c r="A3" s="20" t="s">
        <v>99</v>
      </c>
      <c r="B3" s="6">
        <v>2023</v>
      </c>
      <c r="C3" s="7">
        <v>2022</v>
      </c>
    </row>
    <row r="4" spans="1:5" x14ac:dyDescent="0.25">
      <c r="A4" s="2" t="s">
        <v>71</v>
      </c>
      <c r="B4" s="2" t="s">
        <v>55</v>
      </c>
      <c r="C4" s="3" t="s">
        <v>55</v>
      </c>
    </row>
    <row r="5" spans="1:5" x14ac:dyDescent="0.25">
      <c r="A5" s="4" t="s">
        <v>1</v>
      </c>
      <c r="B5" s="12" t="s">
        <v>55</v>
      </c>
      <c r="C5" s="13" t="s">
        <v>55</v>
      </c>
      <c r="D5" s="49">
        <v>2023</v>
      </c>
      <c r="E5" s="49">
        <v>2022</v>
      </c>
    </row>
    <row r="6" spans="1:5" x14ac:dyDescent="0.25">
      <c r="A6" s="28" t="s">
        <v>2</v>
      </c>
      <c r="B6" s="48">
        <v>0</v>
      </c>
      <c r="C6" s="13">
        <v>0</v>
      </c>
      <c r="D6" s="50">
        <v>947024</v>
      </c>
      <c r="E6" s="50">
        <v>5378280</v>
      </c>
    </row>
    <row r="7" spans="1:5" x14ac:dyDescent="0.25">
      <c r="A7" s="4" t="s">
        <v>3</v>
      </c>
      <c r="B7" s="12">
        <v>258099</v>
      </c>
      <c r="C7" s="13">
        <v>5563209</v>
      </c>
    </row>
    <row r="8" spans="1:5" x14ac:dyDescent="0.25">
      <c r="A8" s="4"/>
      <c r="B8" s="60"/>
      <c r="C8" s="61"/>
    </row>
    <row r="9" spans="1:5" x14ac:dyDescent="0.25">
      <c r="A9" s="2" t="s">
        <v>72</v>
      </c>
      <c r="B9" s="23" t="s">
        <v>55</v>
      </c>
      <c r="C9" s="24" t="s">
        <v>55</v>
      </c>
    </row>
    <row r="10" spans="1:5" x14ac:dyDescent="0.25">
      <c r="A10" s="4" t="s">
        <v>5</v>
      </c>
      <c r="B10" s="12">
        <v>1805173</v>
      </c>
      <c r="C10" s="13">
        <v>611370</v>
      </c>
    </row>
    <row r="11" spans="1:5" x14ac:dyDescent="0.25">
      <c r="A11" s="4" t="s">
        <v>6</v>
      </c>
      <c r="B11" s="12">
        <v>8268657</v>
      </c>
      <c r="C11" s="13">
        <v>10296575</v>
      </c>
    </row>
    <row r="12" spans="1:5" x14ac:dyDescent="0.25">
      <c r="A12" s="4" t="s">
        <v>7</v>
      </c>
      <c r="B12" s="12">
        <v>8088551</v>
      </c>
      <c r="C12" s="13">
        <v>7914497</v>
      </c>
    </row>
    <row r="13" spans="1:5" x14ac:dyDescent="0.25">
      <c r="A13" s="4"/>
      <c r="B13" s="60"/>
      <c r="C13" s="61"/>
    </row>
    <row r="14" spans="1:5" x14ac:dyDescent="0.25">
      <c r="A14" s="2" t="s">
        <v>74</v>
      </c>
      <c r="B14" s="23" t="s">
        <v>55</v>
      </c>
      <c r="C14" s="24" t="s">
        <v>55</v>
      </c>
    </row>
    <row r="15" spans="1:5" x14ac:dyDescent="0.25">
      <c r="A15" s="4" t="s">
        <v>70</v>
      </c>
      <c r="B15" s="14">
        <v>506</v>
      </c>
      <c r="C15" s="15">
        <v>414</v>
      </c>
    </row>
    <row r="16" spans="1:5" x14ac:dyDescent="0.25">
      <c r="A16" s="4" t="s">
        <v>75</v>
      </c>
      <c r="B16" s="14">
        <v>677398</v>
      </c>
      <c r="C16" s="15">
        <v>-249162</v>
      </c>
    </row>
    <row r="17" spans="1:5" x14ac:dyDescent="0.25">
      <c r="A17" s="4" t="s">
        <v>76</v>
      </c>
      <c r="B17" s="14">
        <f>14648-17260</f>
        <v>-2612</v>
      </c>
      <c r="C17" s="15">
        <f>21828-1854</f>
        <v>19974</v>
      </c>
    </row>
    <row r="18" spans="1:5" x14ac:dyDescent="0.25">
      <c r="A18" s="4" t="s">
        <v>9</v>
      </c>
      <c r="B18" s="14">
        <f>B7+B15+B16+B17</f>
        <v>933391</v>
      </c>
      <c r="C18" s="15">
        <f>C7+C15+C16+C17</f>
        <v>5334435</v>
      </c>
    </row>
    <row r="19" spans="1:5" x14ac:dyDescent="0.25">
      <c r="A19" s="4"/>
      <c r="B19" s="60"/>
      <c r="C19" s="61"/>
    </row>
    <row r="20" spans="1:5" x14ac:dyDescent="0.25">
      <c r="A20" s="27" t="s">
        <v>73</v>
      </c>
      <c r="B20" s="23" t="s">
        <v>55</v>
      </c>
      <c r="C20" s="24" t="s">
        <v>55</v>
      </c>
      <c r="D20" s="49">
        <v>2023</v>
      </c>
      <c r="E20" s="49">
        <v>2022</v>
      </c>
    </row>
    <row r="21" spans="1:5" x14ac:dyDescent="0.25">
      <c r="A21" s="28" t="s">
        <v>77</v>
      </c>
      <c r="B21" s="10" t="e">
        <f>B7/B6</f>
        <v>#DIV/0!</v>
      </c>
      <c r="C21" s="17" t="e">
        <f>C7/C6</f>
        <v>#DIV/0!</v>
      </c>
      <c r="D21" s="51">
        <f>B7/D6</f>
        <v>0.27253691564310933</v>
      </c>
      <c r="E21" s="51">
        <f>C7/E6</f>
        <v>1.0343844128606172</v>
      </c>
    </row>
    <row r="22" spans="1:5" x14ac:dyDescent="0.25">
      <c r="A22" s="4"/>
      <c r="B22" s="60"/>
      <c r="C22" s="61"/>
    </row>
    <row r="23" spans="1:5" x14ac:dyDescent="0.25">
      <c r="A23" s="2" t="s">
        <v>79</v>
      </c>
      <c r="B23" s="23" t="s">
        <v>55</v>
      </c>
      <c r="C23" s="24" t="s">
        <v>55</v>
      </c>
    </row>
    <row r="24" spans="1:5" x14ac:dyDescent="0.25">
      <c r="A24" s="29" t="s">
        <v>78</v>
      </c>
      <c r="B24" s="47">
        <v>0</v>
      </c>
      <c r="C24" s="33">
        <v>0</v>
      </c>
    </row>
    <row r="25" spans="1:5" x14ac:dyDescent="0.25">
      <c r="A25" s="29" t="s">
        <v>80</v>
      </c>
      <c r="B25" s="30">
        <f>B16/(B7+B16)</f>
        <v>0.72410494100996581</v>
      </c>
      <c r="C25" s="31">
        <f>C16/(C7+C16)</f>
        <v>-4.6887428733693927E-2</v>
      </c>
    </row>
    <row r="26" spans="1:5" x14ac:dyDescent="0.25">
      <c r="A26" s="28" t="s">
        <v>11</v>
      </c>
      <c r="B26" s="10">
        <f>((B7+(1-B25)*B17)+B24)/AVERAGE(B11:C11)</f>
        <v>2.7726921172427903E-2</v>
      </c>
      <c r="C26" s="17">
        <f>(C7+(1-C25)*C17+C24)/C11</f>
        <v>0.54232786431425273</v>
      </c>
      <c r="D26" s="52"/>
    </row>
    <row r="27" spans="1:5" x14ac:dyDescent="0.25">
      <c r="B27" s="60"/>
      <c r="C27" s="61"/>
    </row>
    <row r="28" spans="1:5" x14ac:dyDescent="0.25">
      <c r="A28" s="2" t="s">
        <v>81</v>
      </c>
      <c r="B28" s="23" t="s">
        <v>55</v>
      </c>
      <c r="C28" s="24" t="s">
        <v>55</v>
      </c>
    </row>
    <row r="29" spans="1:5" x14ac:dyDescent="0.25">
      <c r="A29" s="4" t="s">
        <v>13</v>
      </c>
      <c r="B29" s="16">
        <f>B7/AVERAGE(B12:C12)</f>
        <v>3.225623018814916E-2</v>
      </c>
      <c r="C29" s="17">
        <f>C7/C12</f>
        <v>0.70291377961227353</v>
      </c>
    </row>
    <row r="30" spans="1:5" x14ac:dyDescent="0.25">
      <c r="A30" s="4"/>
      <c r="B30" s="60"/>
      <c r="C30" s="61"/>
    </row>
    <row r="31" spans="1:5" x14ac:dyDescent="0.25">
      <c r="A31" s="2" t="s">
        <v>82</v>
      </c>
      <c r="B31" s="23" t="s">
        <v>55</v>
      </c>
      <c r="C31" s="24" t="s">
        <v>55</v>
      </c>
    </row>
    <row r="32" spans="1:5" x14ac:dyDescent="0.25">
      <c r="A32" s="4" t="s">
        <v>15</v>
      </c>
      <c r="B32" s="53">
        <f>(B11-B12)/B12</f>
        <v>2.226678177587061E-2</v>
      </c>
      <c r="C32" s="54">
        <f>(C11-C12)/C12</f>
        <v>0.30097654974156918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3" t="s">
        <v>55</v>
      </c>
      <c r="C34" s="24" t="s">
        <v>55</v>
      </c>
    </row>
    <row r="35" spans="1:3" x14ac:dyDescent="0.25">
      <c r="A35" s="28" t="s">
        <v>21</v>
      </c>
      <c r="B35" s="37">
        <f>(B7+B17+B16)/B17</f>
        <v>-357.15352220520674</v>
      </c>
      <c r="C35" s="35">
        <f>(C7+C17+C16)/C17</f>
        <v>267.04821267647941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3" t="s">
        <v>55</v>
      </c>
      <c r="C37" s="24" t="s">
        <v>55</v>
      </c>
    </row>
    <row r="38" spans="1:3" x14ac:dyDescent="0.25">
      <c r="A38" s="4" t="s">
        <v>66</v>
      </c>
      <c r="B38" s="14">
        <v>0</v>
      </c>
      <c r="C38" s="26">
        <v>0</v>
      </c>
    </row>
    <row r="39" spans="1:3" x14ac:dyDescent="0.25">
      <c r="A39" s="29" t="s">
        <v>87</v>
      </c>
      <c r="B39" s="39">
        <v>0</v>
      </c>
      <c r="C39" s="40">
        <v>0</v>
      </c>
    </row>
    <row r="40" spans="1:3" x14ac:dyDescent="0.25">
      <c r="A40" s="29" t="s">
        <v>88</v>
      </c>
      <c r="B40" s="41" t="s">
        <v>100</v>
      </c>
      <c r="C40" s="42" t="s">
        <v>100</v>
      </c>
    </row>
    <row r="41" spans="1:3" x14ac:dyDescent="0.25">
      <c r="A41" s="29" t="s">
        <v>89</v>
      </c>
      <c r="B41" s="41" t="s">
        <v>100</v>
      </c>
      <c r="C41" s="42" t="s">
        <v>100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3"/>
      <c r="C43" s="24"/>
    </row>
    <row r="44" spans="1:3" x14ac:dyDescent="0.25">
      <c r="A44" s="4" t="s">
        <v>86</v>
      </c>
      <c r="B44" s="25">
        <v>105821</v>
      </c>
      <c r="C44" s="26">
        <v>2272000</v>
      </c>
    </row>
    <row r="45" spans="1:3" x14ac:dyDescent="0.25">
      <c r="A45" s="28" t="s">
        <v>19</v>
      </c>
      <c r="B45" s="38">
        <f>(B10-B38)/B44</f>
        <v>17.058740703641053</v>
      </c>
      <c r="C45" s="36">
        <f>(C10-C38)/C44</f>
        <v>0.26908890845070421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A48:A66"/>
    <mergeCell ref="B48:C66"/>
    <mergeCell ref="B27:C27"/>
    <mergeCell ref="B30:C30"/>
    <mergeCell ref="B33:C33"/>
    <mergeCell ref="B36:C36"/>
    <mergeCell ref="B42:C42"/>
    <mergeCell ref="B46:C46"/>
    <mergeCell ref="B22:C22"/>
    <mergeCell ref="B1:C1"/>
    <mergeCell ref="B2:C2"/>
    <mergeCell ref="B8:C8"/>
    <mergeCell ref="B13:C13"/>
    <mergeCell ref="B19:C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94821-2899-4CD6-B6DA-B974CE2D9C7B}">
  <dimension ref="A1:C66"/>
  <sheetViews>
    <sheetView topLeftCell="A14" zoomScale="104" zoomScaleNormal="70" workbookViewId="0">
      <selection activeCell="C45" sqref="C45"/>
    </sheetView>
  </sheetViews>
  <sheetFormatPr baseColWidth="10" defaultRowHeight="15" x14ac:dyDescent="0.25"/>
  <cols>
    <col min="1" max="1" width="46.7109375" style="18" customWidth="1"/>
    <col min="2" max="3" width="13.7109375" style="18" customWidth="1"/>
    <col min="4" max="4" width="11.42578125" style="18"/>
    <col min="5" max="5" width="11.85546875" style="18" bestFit="1" customWidth="1"/>
    <col min="6" max="16384" width="11.42578125" style="18"/>
  </cols>
  <sheetData>
    <row r="1" spans="1:3" x14ac:dyDescent="0.25">
      <c r="A1" s="19" t="s">
        <v>67</v>
      </c>
      <c r="B1" s="56">
        <v>0</v>
      </c>
      <c r="C1" s="57"/>
    </row>
    <row r="2" spans="1:3" x14ac:dyDescent="0.25">
      <c r="A2" s="20" t="s">
        <v>68</v>
      </c>
      <c r="B2" s="58" t="s">
        <v>101</v>
      </c>
      <c r="C2" s="59"/>
    </row>
    <row r="3" spans="1:3" x14ac:dyDescent="0.25">
      <c r="A3" s="20" t="s">
        <v>102</v>
      </c>
      <c r="B3" s="6">
        <v>2023</v>
      </c>
      <c r="C3" s="7">
        <v>2022</v>
      </c>
    </row>
    <row r="4" spans="1:3" x14ac:dyDescent="0.25">
      <c r="A4" s="2" t="s">
        <v>71</v>
      </c>
      <c r="B4" s="2" t="s">
        <v>55</v>
      </c>
      <c r="C4" s="3" t="s">
        <v>55</v>
      </c>
    </row>
    <row r="5" spans="1:3" x14ac:dyDescent="0.25">
      <c r="A5" s="4" t="s">
        <v>1</v>
      </c>
      <c r="B5" s="12" t="s">
        <v>55</v>
      </c>
      <c r="C5" s="13" t="s">
        <v>55</v>
      </c>
    </row>
    <row r="6" spans="1:3" x14ac:dyDescent="0.25">
      <c r="A6" s="4" t="s">
        <v>2</v>
      </c>
      <c r="B6" s="12">
        <v>2964899</v>
      </c>
      <c r="C6" s="13">
        <v>3006047</v>
      </c>
    </row>
    <row r="7" spans="1:3" x14ac:dyDescent="0.25">
      <c r="A7" s="4" t="s">
        <v>3</v>
      </c>
      <c r="B7" s="12">
        <v>87971</v>
      </c>
      <c r="C7" s="13">
        <v>334999</v>
      </c>
    </row>
    <row r="8" spans="1:3" x14ac:dyDescent="0.25">
      <c r="A8" s="4"/>
      <c r="B8" s="60"/>
      <c r="C8" s="61"/>
    </row>
    <row r="9" spans="1:3" x14ac:dyDescent="0.25">
      <c r="A9" s="2" t="s">
        <v>72</v>
      </c>
      <c r="B9" s="2" t="s">
        <v>90</v>
      </c>
      <c r="C9" s="3" t="s">
        <v>90</v>
      </c>
    </row>
    <row r="10" spans="1:3" x14ac:dyDescent="0.25">
      <c r="A10" s="4" t="s">
        <v>5</v>
      </c>
      <c r="B10" s="12">
        <v>2015012</v>
      </c>
      <c r="C10" s="13">
        <v>1684842</v>
      </c>
    </row>
    <row r="11" spans="1:3" x14ac:dyDescent="0.25">
      <c r="A11" s="4" t="s">
        <v>6</v>
      </c>
      <c r="B11" s="12">
        <v>7006540</v>
      </c>
      <c r="C11" s="13">
        <v>6561715</v>
      </c>
    </row>
    <row r="12" spans="1:3" x14ac:dyDescent="0.25">
      <c r="A12" s="4" t="s">
        <v>7</v>
      </c>
      <c r="B12" s="12">
        <v>3661112</v>
      </c>
      <c r="C12" s="13">
        <v>3681990</v>
      </c>
    </row>
    <row r="13" spans="1:3" x14ac:dyDescent="0.25">
      <c r="A13" s="4"/>
      <c r="B13" s="60"/>
      <c r="C13" s="61"/>
    </row>
    <row r="14" spans="1:3" x14ac:dyDescent="0.25">
      <c r="A14" s="2" t="s">
        <v>74</v>
      </c>
      <c r="B14" s="2" t="s">
        <v>90</v>
      </c>
      <c r="C14" s="3" t="s">
        <v>90</v>
      </c>
    </row>
    <row r="15" spans="1:3" x14ac:dyDescent="0.25">
      <c r="A15" s="4" t="s">
        <v>70</v>
      </c>
      <c r="B15" s="14">
        <v>321347</v>
      </c>
      <c r="C15" s="15">
        <v>295943</v>
      </c>
    </row>
    <row r="16" spans="1:3" x14ac:dyDescent="0.25">
      <c r="A16" s="4" t="s">
        <v>75</v>
      </c>
      <c r="B16" s="14">
        <v>146517</v>
      </c>
      <c r="C16" s="15">
        <v>174518</v>
      </c>
    </row>
    <row r="17" spans="1:3" x14ac:dyDescent="0.25">
      <c r="A17" s="4" t="s">
        <v>76</v>
      </c>
      <c r="B17" s="14">
        <f>117823-22364</f>
        <v>95459</v>
      </c>
      <c r="C17" s="15">
        <f>80694-10376</f>
        <v>70318</v>
      </c>
    </row>
    <row r="18" spans="1:3" x14ac:dyDescent="0.25">
      <c r="A18" s="4" t="s">
        <v>9</v>
      </c>
      <c r="B18" s="14">
        <f>B7+B15+B16+B17</f>
        <v>651294</v>
      </c>
      <c r="C18" s="15">
        <f>C7+C15+C16+C17</f>
        <v>875778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" t="s">
        <v>90</v>
      </c>
      <c r="C20" s="3" t="s">
        <v>90</v>
      </c>
    </row>
    <row r="21" spans="1:3" x14ac:dyDescent="0.25">
      <c r="A21" s="28" t="s">
        <v>77</v>
      </c>
      <c r="B21" s="10">
        <f>B7/B6</f>
        <v>2.9670825211921215E-2</v>
      </c>
      <c r="C21" s="17">
        <f>C7/C6</f>
        <v>0.11144170400529332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" t="s">
        <v>90</v>
      </c>
      <c r="C23" s="3" t="s">
        <v>90</v>
      </c>
    </row>
    <row r="24" spans="1:3" x14ac:dyDescent="0.25">
      <c r="A24" s="29" t="s">
        <v>78</v>
      </c>
      <c r="B24" s="32">
        <v>94958</v>
      </c>
      <c r="C24" s="33">
        <v>109028</v>
      </c>
    </row>
    <row r="25" spans="1:3" x14ac:dyDescent="0.25">
      <c r="A25" s="29" t="s">
        <v>80</v>
      </c>
      <c r="B25" s="30">
        <f>B16/(B7+B16)</f>
        <v>0.624837944798881</v>
      </c>
      <c r="C25" s="31">
        <f>C16/(C7+C16)</f>
        <v>0.34251654017432198</v>
      </c>
    </row>
    <row r="26" spans="1:3" x14ac:dyDescent="0.25">
      <c r="A26" s="28" t="s">
        <v>11</v>
      </c>
      <c r="B26" s="10">
        <f>((B7+(1-B25)*B17)+B24)/AVERAGE(B11:C11)</f>
        <v>3.2243143223272798E-2</v>
      </c>
      <c r="C26" s="17">
        <f>(C7+(1-C25)*C17+C24)/C11</f>
        <v>7.4715211180007374E-2</v>
      </c>
    </row>
    <row r="27" spans="1:3" x14ac:dyDescent="0.25">
      <c r="B27" s="60"/>
      <c r="C27" s="61"/>
    </row>
    <row r="28" spans="1:3" x14ac:dyDescent="0.25">
      <c r="A28" s="2" t="s">
        <v>81</v>
      </c>
      <c r="B28" s="2" t="s">
        <v>90</v>
      </c>
      <c r="C28" s="3" t="s">
        <v>90</v>
      </c>
    </row>
    <row r="29" spans="1:3" x14ac:dyDescent="0.25">
      <c r="A29" s="4" t="s">
        <v>13</v>
      </c>
      <c r="B29" s="16">
        <f>B7/AVERAGE(B12:C12)</f>
        <v>2.3960173779419107E-2</v>
      </c>
      <c r="C29" s="17">
        <f>C7/C12</f>
        <v>9.0983136836330358E-2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" t="s">
        <v>90</v>
      </c>
      <c r="C31" s="3" t="s">
        <v>90</v>
      </c>
    </row>
    <row r="32" spans="1:3" x14ac:dyDescent="0.25">
      <c r="A32" s="4" t="s">
        <v>15</v>
      </c>
      <c r="B32" s="34">
        <f>(B11-B12)/B12</f>
        <v>0.91377373868922884</v>
      </c>
      <c r="C32" s="36">
        <f>(C11-C12)/C12</f>
        <v>0.78211103234935453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" t="s">
        <v>90</v>
      </c>
      <c r="C34" s="3" t="s">
        <v>90</v>
      </c>
    </row>
    <row r="35" spans="1:3" x14ac:dyDescent="0.25">
      <c r="A35" s="28" t="s">
        <v>21</v>
      </c>
      <c r="B35" s="37">
        <f>(B7+B17+B16)/B17</f>
        <v>3.4564263191527251</v>
      </c>
      <c r="C35" s="35">
        <f>(C7+C17+C16)/C17</f>
        <v>8.2458972098182546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" t="s">
        <v>90</v>
      </c>
      <c r="C37" s="3" t="s">
        <v>90</v>
      </c>
    </row>
    <row r="38" spans="1:3" x14ac:dyDescent="0.25">
      <c r="A38" s="4" t="s">
        <v>66</v>
      </c>
      <c r="B38" s="14">
        <v>749601</v>
      </c>
      <c r="C38" s="15">
        <v>768964</v>
      </c>
    </row>
    <row r="39" spans="1:3" x14ac:dyDescent="0.25">
      <c r="A39" s="29" t="s">
        <v>87</v>
      </c>
      <c r="B39" s="32">
        <v>2273508</v>
      </c>
      <c r="C39" s="33">
        <v>2243504</v>
      </c>
    </row>
    <row r="40" spans="1:3" x14ac:dyDescent="0.25">
      <c r="A40" s="29" t="s">
        <v>88</v>
      </c>
      <c r="B40" s="41">
        <f>B39/AVERAGE(B38:C38)</f>
        <v>2.9942847359184492</v>
      </c>
      <c r="C40" s="42">
        <f>C39/C38</f>
        <v>2.9175670122398447</v>
      </c>
    </row>
    <row r="41" spans="1:3" x14ac:dyDescent="0.25">
      <c r="A41" s="29" t="s">
        <v>89</v>
      </c>
      <c r="B41" s="41">
        <f>365/B40</f>
        <v>121.89889479166118</v>
      </c>
      <c r="C41" s="42">
        <f>365/C40</f>
        <v>125.10423872656345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" t="s">
        <v>90</v>
      </c>
      <c r="C43" s="3" t="s">
        <v>90</v>
      </c>
    </row>
    <row r="44" spans="1:3" x14ac:dyDescent="0.25">
      <c r="A44" s="4" t="s">
        <v>86</v>
      </c>
      <c r="B44" s="25">
        <v>1409958</v>
      </c>
      <c r="C44" s="26">
        <v>1495196</v>
      </c>
    </row>
    <row r="45" spans="1:3" x14ac:dyDescent="0.25">
      <c r="A45" s="28" t="s">
        <v>19</v>
      </c>
      <c r="B45" s="38">
        <f>(B10-B38)/B44</f>
        <v>0.89748134341590313</v>
      </c>
      <c r="C45" s="36">
        <f>(C10-C38)/C44</f>
        <v>0.61254711756853286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A48:A66"/>
    <mergeCell ref="B48:C66"/>
    <mergeCell ref="B27:C27"/>
    <mergeCell ref="B30:C30"/>
    <mergeCell ref="B33:C33"/>
    <mergeCell ref="B36:C36"/>
    <mergeCell ref="B42:C42"/>
    <mergeCell ref="B46:C46"/>
    <mergeCell ref="B22:C22"/>
    <mergeCell ref="B1:C1"/>
    <mergeCell ref="B2:C2"/>
    <mergeCell ref="B8:C8"/>
    <mergeCell ref="B13:C13"/>
    <mergeCell ref="B19:C1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DB206-E344-4C2D-9BEA-35250A822021}">
  <dimension ref="A1:C66"/>
  <sheetViews>
    <sheetView topLeftCell="A28" zoomScale="92" workbookViewId="0">
      <selection activeCell="C45" sqref="C45"/>
    </sheetView>
  </sheetViews>
  <sheetFormatPr baseColWidth="10" defaultRowHeight="15" x14ac:dyDescent="0.25"/>
  <cols>
    <col min="1" max="1" width="46.7109375" style="18" customWidth="1"/>
    <col min="2" max="3" width="16.28515625" style="18" bestFit="1" customWidth="1"/>
    <col min="4" max="4" width="11.42578125" style="18"/>
    <col min="5" max="5" width="11.85546875" style="18" bestFit="1" customWidth="1"/>
    <col min="6" max="16384" width="11.42578125" style="18"/>
  </cols>
  <sheetData>
    <row r="1" spans="1:3" x14ac:dyDescent="0.25">
      <c r="A1" s="19" t="s">
        <v>67</v>
      </c>
      <c r="B1" s="56">
        <v>0</v>
      </c>
      <c r="C1" s="57"/>
    </row>
    <row r="2" spans="1:3" x14ac:dyDescent="0.25">
      <c r="A2" s="20" t="s">
        <v>68</v>
      </c>
      <c r="B2" s="58" t="s">
        <v>104</v>
      </c>
      <c r="C2" s="59"/>
    </row>
    <row r="3" spans="1:3" x14ac:dyDescent="0.25">
      <c r="A3" s="20" t="s">
        <v>105</v>
      </c>
      <c r="B3" s="6">
        <v>2023</v>
      </c>
      <c r="C3" s="7">
        <v>2022</v>
      </c>
    </row>
    <row r="4" spans="1:3" x14ac:dyDescent="0.25">
      <c r="A4" s="2" t="s">
        <v>71</v>
      </c>
      <c r="B4" s="2" t="s">
        <v>95</v>
      </c>
      <c r="C4" s="3" t="s">
        <v>103</v>
      </c>
    </row>
    <row r="5" spans="1:3" x14ac:dyDescent="0.25">
      <c r="A5" s="4" t="s">
        <v>1</v>
      </c>
      <c r="B5" s="12" t="s">
        <v>95</v>
      </c>
      <c r="C5" s="13" t="s">
        <v>103</v>
      </c>
    </row>
    <row r="6" spans="1:3" x14ac:dyDescent="0.25">
      <c r="A6" s="28" t="s">
        <v>2</v>
      </c>
      <c r="B6" s="48">
        <v>1504847651</v>
      </c>
      <c r="C6" s="13">
        <v>1380292907</v>
      </c>
    </row>
    <row r="7" spans="1:3" x14ac:dyDescent="0.25">
      <c r="A7" s="4" t="s">
        <v>3</v>
      </c>
      <c r="B7" s="12">
        <v>14002810</v>
      </c>
      <c r="C7" s="13">
        <v>22126726</v>
      </c>
    </row>
    <row r="8" spans="1:3" x14ac:dyDescent="0.25">
      <c r="A8" s="4"/>
      <c r="B8" s="60"/>
      <c r="C8" s="61"/>
    </row>
    <row r="9" spans="1:3" x14ac:dyDescent="0.25">
      <c r="A9" s="2" t="s">
        <v>72</v>
      </c>
      <c r="B9" s="23" t="s">
        <v>95</v>
      </c>
      <c r="C9" s="24" t="s">
        <v>95</v>
      </c>
    </row>
    <row r="10" spans="1:3" x14ac:dyDescent="0.25">
      <c r="A10" s="4" t="s">
        <v>5</v>
      </c>
      <c r="B10" s="12">
        <v>536336504</v>
      </c>
      <c r="C10" s="13">
        <v>517448833</v>
      </c>
    </row>
    <row r="11" spans="1:3" x14ac:dyDescent="0.25">
      <c r="A11" s="4" t="s">
        <v>6</v>
      </c>
      <c r="B11" s="12">
        <v>2385524692</v>
      </c>
      <c r="C11" s="13">
        <v>2021184795</v>
      </c>
    </row>
    <row r="12" spans="1:3" x14ac:dyDescent="0.25">
      <c r="A12" s="4" t="s">
        <v>7</v>
      </c>
      <c r="B12" s="12">
        <v>699037823</v>
      </c>
      <c r="C12" s="13">
        <v>684979013</v>
      </c>
    </row>
    <row r="13" spans="1:3" x14ac:dyDescent="0.25">
      <c r="A13" s="4"/>
      <c r="B13" s="60"/>
      <c r="C13" s="61"/>
    </row>
    <row r="14" spans="1:3" x14ac:dyDescent="0.25">
      <c r="A14" s="2" t="s">
        <v>74</v>
      </c>
      <c r="B14" s="23" t="s">
        <v>95</v>
      </c>
      <c r="C14" s="24" t="s">
        <v>95</v>
      </c>
    </row>
    <row r="15" spans="1:3" x14ac:dyDescent="0.25">
      <c r="A15" s="4" t="s">
        <v>70</v>
      </c>
      <c r="B15" s="14">
        <v>50976045</v>
      </c>
      <c r="C15" s="15">
        <v>47910022</v>
      </c>
    </row>
    <row r="16" spans="1:3" x14ac:dyDescent="0.25">
      <c r="A16" s="4" t="s">
        <v>75</v>
      </c>
      <c r="B16" s="14">
        <v>-5986351</v>
      </c>
      <c r="C16" s="15">
        <v>-20211987</v>
      </c>
    </row>
    <row r="17" spans="1:3" x14ac:dyDescent="0.25">
      <c r="A17" s="4" t="s">
        <v>76</v>
      </c>
      <c r="B17" s="14">
        <f>55938128-35168522</f>
        <v>20769606</v>
      </c>
      <c r="C17" s="15">
        <f>40841556-29505686</f>
        <v>11335870</v>
      </c>
    </row>
    <row r="18" spans="1:3" x14ac:dyDescent="0.25">
      <c r="A18" s="4" t="s">
        <v>9</v>
      </c>
      <c r="B18" s="14">
        <f>B7+B15+B16+B17</f>
        <v>79762110</v>
      </c>
      <c r="C18" s="15">
        <f>C7+C15+C16+C17</f>
        <v>61160631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3" t="s">
        <v>95</v>
      </c>
      <c r="C20" s="24" t="s">
        <v>95</v>
      </c>
    </row>
    <row r="21" spans="1:3" x14ac:dyDescent="0.25">
      <c r="A21" s="28" t="s">
        <v>77</v>
      </c>
      <c r="B21" s="10">
        <f>B7/B6</f>
        <v>9.3051346365161051E-3</v>
      </c>
      <c r="C21" s="17">
        <f>C7/C6</f>
        <v>1.6030456932573371E-2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3" t="s">
        <v>95</v>
      </c>
      <c r="C23" s="24" t="s">
        <v>95</v>
      </c>
    </row>
    <row r="24" spans="1:3" x14ac:dyDescent="0.25">
      <c r="A24" s="29" t="s">
        <v>78</v>
      </c>
      <c r="B24" s="32">
        <v>3</v>
      </c>
      <c r="C24" s="33">
        <v>-1</v>
      </c>
    </row>
    <row r="25" spans="1:3" x14ac:dyDescent="0.25">
      <c r="A25" s="29" t="s">
        <v>80</v>
      </c>
      <c r="B25" s="30">
        <f>B16/(B7+B16)</f>
        <v>-0.74675751475807461</v>
      </c>
      <c r="C25" s="31">
        <f>C16/(C7+C16)</f>
        <v>-10.556001105111454</v>
      </c>
    </row>
    <row r="26" spans="1:3" x14ac:dyDescent="0.25">
      <c r="A26" s="28" t="s">
        <v>11</v>
      </c>
      <c r="B26" s="10">
        <f>((B7+(1-B25)*B17)+B24)/AVERAGE(B11:C11)</f>
        <v>2.2820782040386133E-2</v>
      </c>
      <c r="C26" s="17">
        <f>(C7+(1-C25)*C17+C24)/C11</f>
        <v>7.5759550351950755E-2</v>
      </c>
    </row>
    <row r="27" spans="1:3" x14ac:dyDescent="0.25">
      <c r="B27" s="60"/>
      <c r="C27" s="61"/>
    </row>
    <row r="28" spans="1:3" x14ac:dyDescent="0.25">
      <c r="A28" s="2" t="s">
        <v>81</v>
      </c>
      <c r="B28" s="23" t="s">
        <v>95</v>
      </c>
      <c r="C28" s="24" t="s">
        <v>95</v>
      </c>
    </row>
    <row r="29" spans="1:3" x14ac:dyDescent="0.25">
      <c r="A29" s="4" t="s">
        <v>13</v>
      </c>
      <c r="B29" s="16">
        <f>B7/AVERAGE(B12:C12)</f>
        <v>2.0235028412616797E-2</v>
      </c>
      <c r="C29" s="17">
        <f>C7/C12</f>
        <v>3.2302779472164644E-2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3" t="s">
        <v>95</v>
      </c>
      <c r="C31" s="24" t="s">
        <v>95</v>
      </c>
    </row>
    <row r="32" spans="1:3" x14ac:dyDescent="0.25">
      <c r="A32" s="4" t="s">
        <v>15</v>
      </c>
      <c r="B32" s="34">
        <f>(B11-B12)/B12</f>
        <v>2.4125831443029084</v>
      </c>
      <c r="C32" s="36">
        <f>(C11-C12)/C12</f>
        <v>1.9507251414139313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3" t="s">
        <v>95</v>
      </c>
      <c r="C34" s="24" t="s">
        <v>95</v>
      </c>
    </row>
    <row r="35" spans="1:3" x14ac:dyDescent="0.25">
      <c r="A35" s="28" t="s">
        <v>21</v>
      </c>
      <c r="B35" s="37">
        <f>(B7+B17+B16)/B17</f>
        <v>1.3859706823518945</v>
      </c>
      <c r="C35" s="35">
        <f>(C7+C17+C16)/C17</f>
        <v>1.1689097528464953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3" t="s">
        <v>95</v>
      </c>
      <c r="C37" s="24" t="s">
        <v>95</v>
      </c>
    </row>
    <row r="38" spans="1:3" x14ac:dyDescent="0.25">
      <c r="A38" s="4" t="s">
        <v>66</v>
      </c>
      <c r="B38" s="14">
        <v>5724742</v>
      </c>
      <c r="C38" s="26">
        <v>4696300</v>
      </c>
    </row>
    <row r="39" spans="1:3" x14ac:dyDescent="0.25">
      <c r="A39" s="29" t="s">
        <v>87</v>
      </c>
      <c r="B39" s="32">
        <v>1321193173</v>
      </c>
      <c r="C39" s="33">
        <v>1219057343</v>
      </c>
    </row>
    <row r="40" spans="1:3" x14ac:dyDescent="0.25">
      <c r="A40" s="29" t="s">
        <v>88</v>
      </c>
      <c r="B40" s="41">
        <f>B39/AVERAGE(B38:C38)</f>
        <v>253.5625848163744</v>
      </c>
      <c r="C40" s="42">
        <f>C39/C38</f>
        <v>259.57825160232522</v>
      </c>
    </row>
    <row r="41" spans="1:3" x14ac:dyDescent="0.25">
      <c r="A41" s="29" t="s">
        <v>89</v>
      </c>
      <c r="B41" s="41">
        <f>365/B40</f>
        <v>1.4394868243843097</v>
      </c>
      <c r="C41" s="42">
        <f>365/C40</f>
        <v>1.4061270454937083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3" t="s">
        <v>95</v>
      </c>
      <c r="C43" s="24" t="s">
        <v>95</v>
      </c>
    </row>
    <row r="44" spans="1:3" x14ac:dyDescent="0.25">
      <c r="A44" s="4" t="s">
        <v>86</v>
      </c>
      <c r="B44" s="25">
        <v>576000953</v>
      </c>
      <c r="C44" s="26">
        <v>707079954</v>
      </c>
    </row>
    <row r="45" spans="1:3" x14ac:dyDescent="0.25">
      <c r="A45" s="28" t="s">
        <v>19</v>
      </c>
      <c r="B45" s="38">
        <f>(B10-B38)/B44</f>
        <v>0.92119945155715743</v>
      </c>
      <c r="C45" s="36">
        <f>(C10-C38)/C44</f>
        <v>0.72516909876927438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B22:C22"/>
    <mergeCell ref="B1:C1"/>
    <mergeCell ref="B2:C2"/>
    <mergeCell ref="B8:C8"/>
    <mergeCell ref="B13:C13"/>
    <mergeCell ref="B19:C19"/>
    <mergeCell ref="A48:A66"/>
    <mergeCell ref="B48:C66"/>
    <mergeCell ref="B27:C27"/>
    <mergeCell ref="B30:C30"/>
    <mergeCell ref="B33:C33"/>
    <mergeCell ref="B36:C36"/>
    <mergeCell ref="B42:C42"/>
    <mergeCell ref="B46:C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4A2A-05CB-4F43-9FD7-2BF015CED2F0}">
  <dimension ref="A1:C66"/>
  <sheetViews>
    <sheetView tabSelected="1" topLeftCell="A13" zoomScale="104" zoomScaleNormal="70" workbookViewId="0">
      <selection activeCell="B29" sqref="B29"/>
    </sheetView>
  </sheetViews>
  <sheetFormatPr baseColWidth="10" defaultRowHeight="15" x14ac:dyDescent="0.25"/>
  <cols>
    <col min="1" max="1" width="46.7109375" style="18" customWidth="1"/>
    <col min="2" max="3" width="13.7109375" style="18" customWidth="1"/>
    <col min="4" max="4" width="11.42578125" style="18"/>
    <col min="5" max="5" width="11.85546875" style="18" bestFit="1" customWidth="1"/>
    <col min="6" max="16384" width="11.42578125" style="18"/>
  </cols>
  <sheetData>
    <row r="1" spans="1:3" x14ac:dyDescent="0.25">
      <c r="A1" s="19" t="s">
        <v>67</v>
      </c>
      <c r="B1" s="56">
        <v>0</v>
      </c>
      <c r="C1" s="57"/>
    </row>
    <row r="2" spans="1:3" x14ac:dyDescent="0.25">
      <c r="A2" s="20" t="s">
        <v>68</v>
      </c>
      <c r="B2" s="58" t="s">
        <v>106</v>
      </c>
      <c r="C2" s="59"/>
    </row>
    <row r="3" spans="1:3" x14ac:dyDescent="0.25">
      <c r="A3" s="20" t="s">
        <v>107</v>
      </c>
      <c r="B3" s="6">
        <v>2023</v>
      </c>
      <c r="C3" s="7">
        <v>2022</v>
      </c>
    </row>
    <row r="4" spans="1:3" x14ac:dyDescent="0.25">
      <c r="A4" s="2" t="s">
        <v>71</v>
      </c>
      <c r="B4" s="2" t="s">
        <v>55</v>
      </c>
      <c r="C4" s="3" t="s">
        <v>55</v>
      </c>
    </row>
    <row r="5" spans="1:3" x14ac:dyDescent="0.25">
      <c r="A5" s="4" t="s">
        <v>1</v>
      </c>
      <c r="B5" s="12" t="s">
        <v>55</v>
      </c>
      <c r="C5" s="13" t="s">
        <v>55</v>
      </c>
    </row>
    <row r="6" spans="1:3" x14ac:dyDescent="0.25">
      <c r="A6" s="4" t="s">
        <v>2</v>
      </c>
      <c r="B6" s="12">
        <v>11640541</v>
      </c>
      <c r="C6" s="13">
        <v>9632521</v>
      </c>
    </row>
    <row r="7" spans="1:3" x14ac:dyDescent="0.25">
      <c r="A7" s="4" t="s">
        <v>3</v>
      </c>
      <c r="B7" s="12">
        <v>581550</v>
      </c>
      <c r="C7" s="13">
        <v>1337137</v>
      </c>
    </row>
    <row r="8" spans="1:3" x14ac:dyDescent="0.25">
      <c r="A8" s="4"/>
      <c r="B8" s="60"/>
      <c r="C8" s="61"/>
    </row>
    <row r="9" spans="1:3" x14ac:dyDescent="0.25">
      <c r="A9" s="2" t="s">
        <v>72</v>
      </c>
      <c r="B9" s="2" t="s">
        <v>90</v>
      </c>
      <c r="C9" s="3" t="s">
        <v>90</v>
      </c>
    </row>
    <row r="10" spans="1:3" x14ac:dyDescent="0.25">
      <c r="A10" s="4" t="s">
        <v>5</v>
      </c>
      <c r="B10" s="12">
        <v>4203362</v>
      </c>
      <c r="C10" s="13">
        <v>3536424</v>
      </c>
    </row>
    <row r="11" spans="1:3" x14ac:dyDescent="0.25">
      <c r="A11" s="4" t="s">
        <v>6</v>
      </c>
      <c r="B11" s="12">
        <v>14667315</v>
      </c>
      <c r="C11" s="13">
        <v>13211024</v>
      </c>
    </row>
    <row r="12" spans="1:3" x14ac:dyDescent="0.25">
      <c r="A12" s="4" t="s">
        <v>7</v>
      </c>
      <c r="B12" s="12">
        <v>438275</v>
      </c>
      <c r="C12" s="13">
        <v>30721</v>
      </c>
    </row>
    <row r="13" spans="1:3" x14ac:dyDescent="0.25">
      <c r="A13" s="4"/>
      <c r="B13" s="60"/>
      <c r="C13" s="61"/>
    </row>
    <row r="14" spans="1:3" x14ac:dyDescent="0.25">
      <c r="A14" s="2" t="s">
        <v>74</v>
      </c>
      <c r="B14" s="2" t="s">
        <v>90</v>
      </c>
      <c r="C14" s="3" t="s">
        <v>90</v>
      </c>
    </row>
    <row r="15" spans="1:3" x14ac:dyDescent="0.25">
      <c r="A15" s="4" t="s">
        <v>70</v>
      </c>
      <c r="B15" s="14">
        <v>1205373</v>
      </c>
      <c r="C15" s="15">
        <v>1179512</v>
      </c>
    </row>
    <row r="16" spans="1:3" x14ac:dyDescent="0.25">
      <c r="A16" s="4" t="s">
        <v>75</v>
      </c>
      <c r="B16" s="14">
        <v>14942</v>
      </c>
      <c r="C16" s="15">
        <v>8914</v>
      </c>
    </row>
    <row r="17" spans="1:3" x14ac:dyDescent="0.25">
      <c r="A17" s="4" t="s">
        <v>76</v>
      </c>
      <c r="B17" s="14">
        <f>698231-125356</f>
        <v>572875</v>
      </c>
      <c r="C17" s="15">
        <f>942403-1052295</f>
        <v>-109892</v>
      </c>
    </row>
    <row r="18" spans="1:3" x14ac:dyDescent="0.25">
      <c r="A18" s="4" t="s">
        <v>9</v>
      </c>
      <c r="B18" s="14">
        <f>B7+B15+B16+B17</f>
        <v>2374740</v>
      </c>
      <c r="C18" s="15">
        <f>C7+C15+C16+C17</f>
        <v>2415671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" t="s">
        <v>90</v>
      </c>
      <c r="C20" s="3" t="s">
        <v>90</v>
      </c>
    </row>
    <row r="21" spans="1:3" x14ac:dyDescent="0.25">
      <c r="A21" s="28" t="s">
        <v>77</v>
      </c>
      <c r="B21" s="10">
        <f>B7/B6</f>
        <v>4.9959018227761061E-2</v>
      </c>
      <c r="C21" s="17">
        <f>C7/C6</f>
        <v>0.13881485438754818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" t="s">
        <v>90</v>
      </c>
      <c r="C23" s="3" t="s">
        <v>90</v>
      </c>
    </row>
    <row r="24" spans="1:3" x14ac:dyDescent="0.25">
      <c r="A24" s="29" t="s">
        <v>78</v>
      </c>
      <c r="B24" s="32">
        <v>-281</v>
      </c>
      <c r="C24" s="33">
        <v>-2073</v>
      </c>
    </row>
    <row r="25" spans="1:3" x14ac:dyDescent="0.25">
      <c r="A25" s="29" t="s">
        <v>80</v>
      </c>
      <c r="B25" s="30">
        <f>B16/(B7+B16)</f>
        <v>2.5049791112035032E-2</v>
      </c>
      <c r="C25" s="31">
        <f>C16/(C7+C16)</f>
        <v>6.6223345177857306E-3</v>
      </c>
    </row>
    <row r="26" spans="1:3" x14ac:dyDescent="0.25">
      <c r="A26" s="28" t="s">
        <v>11</v>
      </c>
      <c r="B26" s="10">
        <f>((B7+(1-B25)*B17)+B24)/AVERAGE(B11:C11)</f>
        <v>8.1769118376578534E-2</v>
      </c>
      <c r="C26" s="17">
        <f>(C7+(1-C25)*C17+C24)/C11</f>
        <v>9.2793695748704164E-2</v>
      </c>
    </row>
    <row r="27" spans="1:3" x14ac:dyDescent="0.25">
      <c r="B27" s="60"/>
      <c r="C27" s="61"/>
    </row>
    <row r="28" spans="1:3" x14ac:dyDescent="0.25">
      <c r="A28" s="2" t="s">
        <v>81</v>
      </c>
      <c r="B28" s="2" t="s">
        <v>90</v>
      </c>
      <c r="C28" s="3" t="s">
        <v>90</v>
      </c>
    </row>
    <row r="29" spans="1:3" x14ac:dyDescent="0.25">
      <c r="A29" s="4" t="s">
        <v>13</v>
      </c>
      <c r="B29" s="16">
        <f>B7/AVERAGE(B12:C12)</f>
        <v>2.4799785072793799</v>
      </c>
      <c r="C29" s="17">
        <f>C7/C12</f>
        <v>43.525178216854918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" t="s">
        <v>90</v>
      </c>
      <c r="C31" s="3" t="s">
        <v>90</v>
      </c>
    </row>
    <row r="32" spans="1:3" x14ac:dyDescent="0.25">
      <c r="A32" s="4" t="s">
        <v>15</v>
      </c>
      <c r="B32" s="34">
        <f>(B11-B12)/B12</f>
        <v>32.466008784438991</v>
      </c>
      <c r="C32" s="55">
        <f>(C11-C12)/C12</f>
        <v>429.03235571758734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" t="s">
        <v>90</v>
      </c>
      <c r="C34" s="3" t="s">
        <v>90</v>
      </c>
    </row>
    <row r="35" spans="1:3" x14ac:dyDescent="0.25">
      <c r="A35" s="28" t="s">
        <v>21</v>
      </c>
      <c r="B35" s="37">
        <f>(B7+B17+B16)/B17</f>
        <v>2.0412253982107789</v>
      </c>
      <c r="C35" s="35">
        <f>(C7+C17+C16)/C17</f>
        <v>-11.248853419721181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" t="s">
        <v>90</v>
      </c>
      <c r="C37" s="3" t="s">
        <v>90</v>
      </c>
    </row>
    <row r="38" spans="1:3" x14ac:dyDescent="0.25">
      <c r="A38" s="4" t="s">
        <v>66</v>
      </c>
      <c r="B38" s="14">
        <v>592880</v>
      </c>
      <c r="C38" s="15">
        <v>477789</v>
      </c>
    </row>
    <row r="39" spans="1:3" x14ac:dyDescent="0.25">
      <c r="A39" s="29" t="s">
        <v>87</v>
      </c>
      <c r="B39" s="32">
        <v>8816590</v>
      </c>
      <c r="C39" s="33">
        <v>8103483</v>
      </c>
    </row>
    <row r="40" spans="1:3" x14ac:dyDescent="0.25">
      <c r="A40" s="29" t="s">
        <v>88</v>
      </c>
      <c r="B40" s="41">
        <f>B39/AVERAGE(B38:C38)</f>
        <v>16.469310309722239</v>
      </c>
      <c r="C40" s="42">
        <f>C39/C38</f>
        <v>16.960380000376734</v>
      </c>
    </row>
    <row r="41" spans="1:3" x14ac:dyDescent="0.25">
      <c r="A41" s="29" t="s">
        <v>89</v>
      </c>
      <c r="B41" s="41">
        <f>365/B40</f>
        <v>22.162433832127842</v>
      </c>
      <c r="C41" s="42">
        <f>365/C40</f>
        <v>21.520744228130052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" t="s">
        <v>90</v>
      </c>
      <c r="C43" s="3" t="s">
        <v>90</v>
      </c>
    </row>
    <row r="44" spans="1:3" x14ac:dyDescent="0.25">
      <c r="A44" s="4" t="s">
        <v>86</v>
      </c>
      <c r="B44" s="25">
        <v>5688135</v>
      </c>
      <c r="C44" s="26">
        <v>5088695</v>
      </c>
    </row>
    <row r="45" spans="1:3" x14ac:dyDescent="0.25">
      <c r="A45" s="28" t="s">
        <v>19</v>
      </c>
      <c r="B45" s="38">
        <f>(B10-B38)/B44</f>
        <v>0.63473915439770678</v>
      </c>
      <c r="C45" s="36">
        <f>(C10-C38)/C44</f>
        <v>0.60106471305511533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B22:C22"/>
    <mergeCell ref="B1:C1"/>
    <mergeCell ref="B2:C2"/>
    <mergeCell ref="B8:C8"/>
    <mergeCell ref="B13:C13"/>
    <mergeCell ref="B19:C19"/>
    <mergeCell ref="A48:A66"/>
    <mergeCell ref="B48:C66"/>
    <mergeCell ref="B27:C27"/>
    <mergeCell ref="B30:C30"/>
    <mergeCell ref="B33:C33"/>
    <mergeCell ref="B36:C36"/>
    <mergeCell ref="B42:C42"/>
    <mergeCell ref="B46:C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83787-B20B-493D-AF2E-FA6F3A24F665}">
  <dimension ref="A1:C66"/>
  <sheetViews>
    <sheetView topLeftCell="A32" zoomScale="104" zoomScaleNormal="70" workbookViewId="0">
      <selection activeCell="H43" sqref="H43"/>
    </sheetView>
  </sheetViews>
  <sheetFormatPr baseColWidth="10" defaultRowHeight="15" x14ac:dyDescent="0.25"/>
  <cols>
    <col min="1" max="1" width="46.7109375" style="18" customWidth="1"/>
    <col min="2" max="3" width="13.7109375" style="18" customWidth="1"/>
    <col min="4" max="4" width="11.42578125" style="18"/>
    <col min="5" max="5" width="11.85546875" style="18" bestFit="1" customWidth="1"/>
    <col min="6" max="16384" width="11.42578125" style="18"/>
  </cols>
  <sheetData>
    <row r="1" spans="1:3" x14ac:dyDescent="0.25">
      <c r="A1" s="19" t="s">
        <v>67</v>
      </c>
      <c r="B1" s="56">
        <v>0</v>
      </c>
      <c r="C1" s="57"/>
    </row>
    <row r="2" spans="1:3" x14ac:dyDescent="0.25">
      <c r="A2" s="20" t="s">
        <v>68</v>
      </c>
      <c r="B2" s="58" t="s">
        <v>108</v>
      </c>
      <c r="C2" s="59"/>
    </row>
    <row r="3" spans="1:3" x14ac:dyDescent="0.25">
      <c r="A3" s="20" t="s">
        <v>109</v>
      </c>
      <c r="B3" s="6">
        <v>2023</v>
      </c>
      <c r="C3" s="7">
        <v>2022</v>
      </c>
    </row>
    <row r="4" spans="1:3" x14ac:dyDescent="0.25">
      <c r="A4" s="2" t="s">
        <v>71</v>
      </c>
      <c r="B4" s="2" t="s">
        <v>55</v>
      </c>
      <c r="C4" s="3" t="s">
        <v>55</v>
      </c>
    </row>
    <row r="5" spans="1:3" x14ac:dyDescent="0.25">
      <c r="A5" s="4" t="s">
        <v>1</v>
      </c>
      <c r="B5" s="12" t="s">
        <v>55</v>
      </c>
      <c r="C5" s="13" t="s">
        <v>55</v>
      </c>
    </row>
    <row r="6" spans="1:3" x14ac:dyDescent="0.25">
      <c r="A6" s="4" t="s">
        <v>2</v>
      </c>
      <c r="B6" s="12">
        <v>2003619</v>
      </c>
      <c r="C6" s="13">
        <v>1974023</v>
      </c>
    </row>
    <row r="7" spans="1:3" x14ac:dyDescent="0.25">
      <c r="A7" s="4" t="s">
        <v>3</v>
      </c>
      <c r="B7" s="12">
        <v>403830</v>
      </c>
      <c r="C7" s="13">
        <v>310467</v>
      </c>
    </row>
    <row r="8" spans="1:3" x14ac:dyDescent="0.25">
      <c r="A8" s="4"/>
      <c r="B8" s="60"/>
      <c r="C8" s="61"/>
    </row>
    <row r="9" spans="1:3" x14ac:dyDescent="0.25">
      <c r="A9" s="2" t="s">
        <v>72</v>
      </c>
      <c r="B9" s="2" t="s">
        <v>55</v>
      </c>
      <c r="C9" s="3" t="s">
        <v>55</v>
      </c>
    </row>
    <row r="10" spans="1:3" x14ac:dyDescent="0.25">
      <c r="A10" s="4" t="s">
        <v>5</v>
      </c>
      <c r="B10" s="12">
        <v>1426255</v>
      </c>
      <c r="C10" s="13">
        <v>1688307</v>
      </c>
    </row>
    <row r="11" spans="1:3" x14ac:dyDescent="0.25">
      <c r="A11" s="4" t="s">
        <v>6</v>
      </c>
      <c r="B11" s="12">
        <v>6660723</v>
      </c>
      <c r="C11" s="13">
        <v>6605974</v>
      </c>
    </row>
    <row r="12" spans="1:3" x14ac:dyDescent="0.25">
      <c r="A12" s="4" t="s">
        <v>7</v>
      </c>
      <c r="B12" s="12">
        <v>3097278</v>
      </c>
      <c r="C12" s="13">
        <v>2952974</v>
      </c>
    </row>
    <row r="13" spans="1:3" x14ac:dyDescent="0.25">
      <c r="A13" s="4"/>
      <c r="B13" s="60"/>
      <c r="C13" s="61"/>
    </row>
    <row r="14" spans="1:3" x14ac:dyDescent="0.25">
      <c r="A14" s="2" t="s">
        <v>74</v>
      </c>
      <c r="B14" s="2" t="s">
        <v>55</v>
      </c>
      <c r="C14" s="3" t="s">
        <v>55</v>
      </c>
    </row>
    <row r="15" spans="1:3" x14ac:dyDescent="0.25">
      <c r="A15" s="4" t="s">
        <v>70</v>
      </c>
      <c r="B15" s="14">
        <v>205881</v>
      </c>
      <c r="C15" s="15">
        <v>219514</v>
      </c>
    </row>
    <row r="16" spans="1:3" x14ac:dyDescent="0.25">
      <c r="A16" s="4" t="s">
        <v>75</v>
      </c>
      <c r="B16" s="14">
        <v>144742</v>
      </c>
      <c r="C16" s="15">
        <v>105533</v>
      </c>
    </row>
    <row r="17" spans="1:3" x14ac:dyDescent="0.25">
      <c r="A17" s="4" t="s">
        <v>76</v>
      </c>
      <c r="B17" s="14">
        <f>85409-67926</f>
        <v>17483</v>
      </c>
      <c r="C17" s="15">
        <f>88723-29052</f>
        <v>59671</v>
      </c>
    </row>
    <row r="18" spans="1:3" x14ac:dyDescent="0.25">
      <c r="A18" s="4" t="s">
        <v>9</v>
      </c>
      <c r="B18" s="14">
        <f>B7+B15+B16+B17</f>
        <v>771936</v>
      </c>
      <c r="C18" s="15">
        <f>C7+C15+C16+C17</f>
        <v>695185</v>
      </c>
    </row>
    <row r="19" spans="1:3" x14ac:dyDescent="0.25">
      <c r="A19" s="4"/>
      <c r="B19" s="60"/>
      <c r="C19" s="61"/>
    </row>
    <row r="20" spans="1:3" x14ac:dyDescent="0.25">
      <c r="A20" s="27" t="s">
        <v>73</v>
      </c>
      <c r="B20" s="2" t="s">
        <v>55</v>
      </c>
      <c r="C20" s="3" t="s">
        <v>55</v>
      </c>
    </row>
    <row r="21" spans="1:3" x14ac:dyDescent="0.25">
      <c r="A21" s="28" t="s">
        <v>77</v>
      </c>
      <c r="B21" s="10">
        <f>B7/B6</f>
        <v>0.20155029474166497</v>
      </c>
      <c r="C21" s="17">
        <f>C7/C6</f>
        <v>0.15727628300176846</v>
      </c>
    </row>
    <row r="22" spans="1:3" x14ac:dyDescent="0.25">
      <c r="A22" s="4"/>
      <c r="B22" s="60"/>
      <c r="C22" s="61"/>
    </row>
    <row r="23" spans="1:3" x14ac:dyDescent="0.25">
      <c r="A23" s="2" t="s">
        <v>79</v>
      </c>
      <c r="B23" s="2" t="s">
        <v>55</v>
      </c>
      <c r="C23" s="3" t="s">
        <v>55</v>
      </c>
    </row>
    <row r="24" spans="1:3" x14ac:dyDescent="0.25">
      <c r="A24" s="29" t="s">
        <v>78</v>
      </c>
      <c r="B24" s="32">
        <v>10341</v>
      </c>
      <c r="C24" s="33">
        <v>14498</v>
      </c>
    </row>
    <row r="25" spans="1:3" x14ac:dyDescent="0.25">
      <c r="A25" s="29" t="s">
        <v>80</v>
      </c>
      <c r="B25" s="30">
        <f>B16/(B7+B16)</f>
        <v>0.2638523293204903</v>
      </c>
      <c r="C25" s="31">
        <f>C16/(C7+C16)</f>
        <v>0.25368509615384616</v>
      </c>
    </row>
    <row r="26" spans="1:3" x14ac:dyDescent="0.25">
      <c r="A26" s="28" t="s">
        <v>11</v>
      </c>
      <c r="B26" s="10">
        <f>((B7+(1-B25)*B17)+B24)/AVERAGE(B11:C11)</f>
        <v>6.4377903516827123E-2</v>
      </c>
      <c r="C26" s="17">
        <f>(C7+(1-C25)*C17+C24)/C11</f>
        <v>5.5933970770609132E-2</v>
      </c>
    </row>
    <row r="27" spans="1:3" x14ac:dyDescent="0.25">
      <c r="B27" s="60"/>
      <c r="C27" s="61"/>
    </row>
    <row r="28" spans="1:3" x14ac:dyDescent="0.25">
      <c r="A28" s="2" t="s">
        <v>81</v>
      </c>
      <c r="B28" s="2" t="s">
        <v>55</v>
      </c>
      <c r="C28" s="3" t="s">
        <v>55</v>
      </c>
    </row>
    <row r="29" spans="1:3" x14ac:dyDescent="0.25">
      <c r="A29" s="4" t="s">
        <v>13</v>
      </c>
      <c r="B29" s="16">
        <f>B7/AVERAGE(B12:C12)</f>
        <v>0.13349196033487531</v>
      </c>
      <c r="C29" s="17">
        <f>C7/C12</f>
        <v>0.10513705843668113</v>
      </c>
    </row>
    <row r="30" spans="1:3" x14ac:dyDescent="0.25">
      <c r="A30" s="4"/>
      <c r="B30" s="60"/>
      <c r="C30" s="61"/>
    </row>
    <row r="31" spans="1:3" x14ac:dyDescent="0.25">
      <c r="A31" s="2" t="s">
        <v>82</v>
      </c>
      <c r="B31" s="2" t="s">
        <v>55</v>
      </c>
      <c r="C31" s="3" t="s">
        <v>55</v>
      </c>
    </row>
    <row r="32" spans="1:3" x14ac:dyDescent="0.25">
      <c r="A32" s="4" t="s">
        <v>15</v>
      </c>
      <c r="B32" s="34">
        <f>(B11-B12)/B12</f>
        <v>1.1505086078808553</v>
      </c>
      <c r="C32" s="36">
        <f>(C11-C12)/C12</f>
        <v>1.2370579625828064</v>
      </c>
    </row>
    <row r="33" spans="1:3" x14ac:dyDescent="0.25">
      <c r="A33" s="4"/>
      <c r="B33" s="60"/>
      <c r="C33" s="61"/>
    </row>
    <row r="34" spans="1:3" x14ac:dyDescent="0.25">
      <c r="A34" s="2" t="s">
        <v>83</v>
      </c>
      <c r="B34" s="2" t="s">
        <v>55</v>
      </c>
      <c r="C34" s="3" t="s">
        <v>55</v>
      </c>
    </row>
    <row r="35" spans="1:3" x14ac:dyDescent="0.25">
      <c r="A35" s="28" t="s">
        <v>21</v>
      </c>
      <c r="B35" s="37">
        <f>(B7+B17+B16)/B17</f>
        <v>32.377452382314246</v>
      </c>
      <c r="C35" s="35">
        <f>(C7+C17+C16)/C17</f>
        <v>7.9715607246401099</v>
      </c>
    </row>
    <row r="36" spans="1:3" x14ac:dyDescent="0.25">
      <c r="A36" s="4"/>
      <c r="B36" s="60"/>
      <c r="C36" s="61"/>
    </row>
    <row r="37" spans="1:3" x14ac:dyDescent="0.25">
      <c r="A37" s="2" t="s">
        <v>84</v>
      </c>
      <c r="B37" s="2" t="s">
        <v>55</v>
      </c>
      <c r="C37" s="3" t="s">
        <v>55</v>
      </c>
    </row>
    <row r="38" spans="1:3" x14ac:dyDescent="0.25">
      <c r="A38" s="4" t="s">
        <v>66</v>
      </c>
      <c r="B38" s="14">
        <v>101389</v>
      </c>
      <c r="C38" s="15">
        <v>95028</v>
      </c>
    </row>
    <row r="39" spans="1:3" x14ac:dyDescent="0.25">
      <c r="A39" s="29" t="s">
        <v>87</v>
      </c>
      <c r="B39" s="32">
        <v>1130142</v>
      </c>
      <c r="C39" s="33">
        <v>1069431</v>
      </c>
    </row>
    <row r="40" spans="1:3" x14ac:dyDescent="0.25">
      <c r="A40" s="29" t="s">
        <v>88</v>
      </c>
      <c r="B40" s="41">
        <f>B39/AVERAGE(B38:C38)</f>
        <v>11.507578264610498</v>
      </c>
      <c r="C40" s="42">
        <f>C39/C38</f>
        <v>11.25385149640106</v>
      </c>
    </row>
    <row r="41" spans="1:3" x14ac:dyDescent="0.25">
      <c r="A41" s="29" t="s">
        <v>89</v>
      </c>
      <c r="B41" s="41">
        <f>365/B40</f>
        <v>31.718228771251752</v>
      </c>
      <c r="C41" s="42">
        <f>365/C40</f>
        <v>32.43334072043919</v>
      </c>
    </row>
    <row r="42" spans="1:3" x14ac:dyDescent="0.25">
      <c r="A42" s="29"/>
      <c r="B42" s="63"/>
      <c r="C42" s="64"/>
    </row>
    <row r="43" spans="1:3" x14ac:dyDescent="0.25">
      <c r="A43" s="23" t="s">
        <v>85</v>
      </c>
      <c r="B43" s="2" t="s">
        <v>55</v>
      </c>
      <c r="C43" s="3" t="s">
        <v>55</v>
      </c>
    </row>
    <row r="44" spans="1:3" x14ac:dyDescent="0.25">
      <c r="A44" s="4" t="s">
        <v>86</v>
      </c>
      <c r="B44" s="14">
        <v>470836</v>
      </c>
      <c r="C44" s="15">
        <v>542664</v>
      </c>
    </row>
    <row r="45" spans="1:3" x14ac:dyDescent="0.25">
      <c r="A45" s="28" t="s">
        <v>19</v>
      </c>
      <c r="B45" s="38">
        <f>(B10-B38)/B44</f>
        <v>2.8138587533663526</v>
      </c>
      <c r="C45" s="36">
        <f>(C10-C38)/C44</f>
        <v>2.9360322409446731</v>
      </c>
    </row>
    <row r="46" spans="1:3" x14ac:dyDescent="0.25">
      <c r="A46" s="29"/>
      <c r="B46" s="63"/>
      <c r="C46" s="64"/>
    </row>
    <row r="47" spans="1:3" x14ac:dyDescent="0.25">
      <c r="A47" s="43"/>
      <c r="B47" s="44"/>
      <c r="C47" s="45"/>
    </row>
    <row r="48" spans="1:3" ht="15" customHeight="1" x14ac:dyDescent="0.25">
      <c r="A48" s="62"/>
      <c r="B48" s="62"/>
      <c r="C48" s="62"/>
    </row>
    <row r="49" spans="1:3" x14ac:dyDescent="0.25">
      <c r="A49" s="62"/>
      <c r="B49" s="62"/>
      <c r="C49" s="62"/>
    </row>
    <row r="50" spans="1:3" x14ac:dyDescent="0.25">
      <c r="A50" s="62"/>
      <c r="B50" s="62"/>
      <c r="C50" s="62"/>
    </row>
    <row r="51" spans="1:3" x14ac:dyDescent="0.25">
      <c r="A51" s="62"/>
      <c r="B51" s="62"/>
      <c r="C51" s="62"/>
    </row>
    <row r="52" spans="1:3" x14ac:dyDescent="0.25">
      <c r="A52" s="62"/>
      <c r="B52" s="62"/>
      <c r="C52" s="62"/>
    </row>
    <row r="53" spans="1:3" x14ac:dyDescent="0.25">
      <c r="A53" s="62"/>
      <c r="B53" s="62"/>
      <c r="C53" s="62"/>
    </row>
    <row r="54" spans="1:3" x14ac:dyDescent="0.25">
      <c r="A54" s="62"/>
      <c r="B54" s="62"/>
      <c r="C54" s="62"/>
    </row>
    <row r="55" spans="1:3" x14ac:dyDescent="0.25">
      <c r="A55" s="62"/>
      <c r="B55" s="62"/>
      <c r="C55" s="62"/>
    </row>
    <row r="56" spans="1:3" x14ac:dyDescent="0.25">
      <c r="A56" s="62"/>
      <c r="B56" s="62"/>
      <c r="C56" s="62"/>
    </row>
    <row r="57" spans="1:3" x14ac:dyDescent="0.25">
      <c r="A57" s="62"/>
      <c r="B57" s="62"/>
      <c r="C57" s="62"/>
    </row>
    <row r="58" spans="1:3" x14ac:dyDescent="0.25">
      <c r="A58" s="62"/>
      <c r="B58" s="62"/>
      <c r="C58" s="62"/>
    </row>
    <row r="59" spans="1:3" x14ac:dyDescent="0.25">
      <c r="A59" s="62"/>
      <c r="B59" s="62"/>
      <c r="C59" s="62"/>
    </row>
    <row r="60" spans="1:3" x14ac:dyDescent="0.25">
      <c r="A60" s="62"/>
      <c r="B60" s="62"/>
      <c r="C60" s="62"/>
    </row>
    <row r="61" spans="1:3" x14ac:dyDescent="0.25">
      <c r="A61" s="62"/>
      <c r="B61" s="62"/>
      <c r="C61" s="62"/>
    </row>
    <row r="62" spans="1:3" x14ac:dyDescent="0.25">
      <c r="A62" s="62"/>
      <c r="B62" s="62"/>
      <c r="C62" s="62"/>
    </row>
    <row r="63" spans="1:3" x14ac:dyDescent="0.25">
      <c r="A63" s="62"/>
      <c r="B63" s="62"/>
      <c r="C63" s="62"/>
    </row>
    <row r="64" spans="1:3" x14ac:dyDescent="0.25">
      <c r="A64" s="62"/>
      <c r="B64" s="62"/>
      <c r="C64" s="62"/>
    </row>
    <row r="65" spans="1:3" x14ac:dyDescent="0.25">
      <c r="A65" s="62"/>
      <c r="B65" s="62"/>
      <c r="C65" s="62"/>
    </row>
    <row r="66" spans="1:3" x14ac:dyDescent="0.25">
      <c r="A66" s="62"/>
      <c r="B66" s="62"/>
      <c r="C66" s="62"/>
    </row>
  </sheetData>
  <mergeCells count="14">
    <mergeCell ref="B22:C22"/>
    <mergeCell ref="B1:C1"/>
    <mergeCell ref="B2:C2"/>
    <mergeCell ref="B8:C8"/>
    <mergeCell ref="B13:C13"/>
    <mergeCell ref="B19:C19"/>
    <mergeCell ref="A48:A66"/>
    <mergeCell ref="B48:C66"/>
    <mergeCell ref="B27:C27"/>
    <mergeCell ref="B30:C30"/>
    <mergeCell ref="B33:C33"/>
    <mergeCell ref="B36:C36"/>
    <mergeCell ref="B42:C42"/>
    <mergeCell ref="B46:C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SQM</vt:lpstr>
      <vt:lpstr>COPEC</vt:lpstr>
      <vt:lpstr>CMPC</vt:lpstr>
      <vt:lpstr>CCU</vt:lpstr>
      <vt:lpstr>SUDAMERICANA DE VAPORES</vt:lpstr>
      <vt:lpstr>CAP</vt:lpstr>
      <vt:lpstr>ENEL</vt:lpstr>
      <vt:lpstr>LATAM</vt:lpstr>
      <vt:lpstr>COLBUN</vt:lpstr>
      <vt:lpstr>PARQUE ARAUCO</vt:lpstr>
      <vt:lpstr>CONCHA Y TORO</vt:lpstr>
      <vt:lpstr>P1 v.2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Guillermo Morales Anríquez</dc:creator>
  <cp:lastModifiedBy>Felipe Andrés Vega López (felipe.vega.l)</cp:lastModifiedBy>
  <dcterms:created xsi:type="dcterms:W3CDTF">2022-08-30T05:39:42Z</dcterms:created>
  <dcterms:modified xsi:type="dcterms:W3CDTF">2024-08-30T23:47:04Z</dcterms:modified>
</cp:coreProperties>
</file>