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erardo.beas\Downloads\"/>
    </mc:Choice>
  </mc:AlternateContent>
  <xr:revisionPtr revIDLastSave="0" documentId="13_ncr:1_{ED844C85-0D6A-49E8-BCE5-5B3AD9EF0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ujo de Caja" sheetId="14" r:id="rId1"/>
    <sheet name="Depreciación, VR y GoPC" sheetId="18" r:id="rId2"/>
    <sheet name="Intereses y Amortizaciones" sheetId="19" r:id="rId3"/>
  </sheets>
  <definedNames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'Flujo de Caja'!#REF!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4" l="1"/>
  <c r="F42" i="14"/>
  <c r="D40" i="14"/>
  <c r="E40" i="14"/>
  <c r="F40" i="14"/>
  <c r="G40" i="14"/>
  <c r="C40" i="14"/>
  <c r="D39" i="14"/>
  <c r="E39" i="14"/>
  <c r="F39" i="14"/>
  <c r="G39" i="14"/>
  <c r="C39" i="14"/>
  <c r="F38" i="14"/>
  <c r="E38" i="14"/>
  <c r="D38" i="14"/>
  <c r="D23" i="14"/>
  <c r="C37" i="14"/>
  <c r="G36" i="14"/>
  <c r="C35" i="14"/>
  <c r="F32" i="14"/>
  <c r="G32" i="14"/>
  <c r="F31" i="14"/>
  <c r="G31" i="14"/>
  <c r="D31" i="14"/>
  <c r="E30" i="14"/>
  <c r="F30" i="14"/>
  <c r="G30" i="14"/>
  <c r="D30" i="14"/>
  <c r="E29" i="14"/>
  <c r="F29" i="14"/>
  <c r="G29" i="14"/>
  <c r="D29" i="14"/>
  <c r="F28" i="14"/>
  <c r="G28" i="14"/>
  <c r="F27" i="14"/>
  <c r="G27" i="14"/>
  <c r="F23" i="14"/>
  <c r="E23" i="14"/>
  <c r="D13" i="19"/>
  <c r="E13" i="19"/>
  <c r="D11" i="19"/>
  <c r="C11" i="19" s="1"/>
  <c r="E11" i="19"/>
  <c r="F11" i="19"/>
  <c r="F12" i="19"/>
  <c r="E10" i="19"/>
  <c r="D10" i="19" s="1"/>
  <c r="C10" i="19" s="1"/>
  <c r="F10" i="19"/>
  <c r="C9" i="19"/>
  <c r="C6" i="19"/>
  <c r="G34" i="14"/>
  <c r="G24" i="14"/>
  <c r="E22" i="14"/>
  <c r="F22" i="14"/>
  <c r="G22" i="14"/>
  <c r="D22" i="14"/>
  <c r="I17" i="18"/>
  <c r="G15" i="18"/>
  <c r="G16" i="18"/>
  <c r="G14" i="18"/>
  <c r="F15" i="18"/>
  <c r="F16" i="18"/>
  <c r="F14" i="18"/>
  <c r="E17" i="18"/>
  <c r="C17" i="18"/>
  <c r="E15" i="18"/>
  <c r="E16" i="18"/>
  <c r="E14" i="18"/>
  <c r="J6" i="18"/>
  <c r="J5" i="18"/>
  <c r="J4" i="18"/>
  <c r="J3" i="18"/>
  <c r="F3" i="18"/>
  <c r="C15" i="18"/>
  <c r="C16" i="18"/>
  <c r="C14" i="18"/>
  <c r="D6" i="18"/>
  <c r="F4" i="18"/>
  <c r="F6" i="18" s="1"/>
  <c r="G4" i="18"/>
  <c r="H4" i="18"/>
  <c r="I4" i="18"/>
  <c r="F5" i="18"/>
  <c r="G5" i="18"/>
  <c r="H5" i="18"/>
  <c r="I5" i="18"/>
  <c r="G3" i="18"/>
  <c r="G6" i="18" s="1"/>
  <c r="H3" i="18"/>
  <c r="H6" i="18" s="1"/>
  <c r="I3" i="18"/>
  <c r="I6" i="18" s="1"/>
  <c r="D20" i="14"/>
  <c r="C33" i="14"/>
  <c r="D21" i="14"/>
  <c r="F21" i="14"/>
  <c r="G21" i="14"/>
  <c r="E19" i="14"/>
  <c r="D19" i="14"/>
  <c r="E16" i="14"/>
  <c r="E21" i="14" s="1"/>
  <c r="F16" i="14"/>
  <c r="G16" i="14"/>
  <c r="D16" i="14"/>
  <c r="E15" i="14"/>
  <c r="F15" i="14"/>
  <c r="F19" i="14" s="1"/>
  <c r="F26" i="14" s="1"/>
  <c r="G15" i="14"/>
  <c r="G19" i="14" s="1"/>
  <c r="G26" i="14" s="1"/>
  <c r="D15" i="14"/>
  <c r="D26" i="14" l="1"/>
  <c r="E12" i="19"/>
  <c r="D12" i="19" s="1"/>
  <c r="C12" i="19"/>
  <c r="G17" i="18"/>
  <c r="F17" i="18"/>
  <c r="E25" i="14" l="1"/>
  <c r="D28" i="14"/>
  <c r="D32" i="14" s="1"/>
  <c r="E26" i="14" l="1"/>
  <c r="E27" i="14" s="1"/>
  <c r="E28" i="14" s="1"/>
  <c r="E32" i="14" s="1"/>
  <c r="E31" i="14"/>
</calcChain>
</file>

<file path=xl/sharedStrings.xml><?xml version="1.0" encoding="utf-8"?>
<sst xmlns="http://schemas.openxmlformats.org/spreadsheetml/2006/main" count="71" uniqueCount="64">
  <si>
    <t>Año</t>
  </si>
  <si>
    <t>Total</t>
  </si>
  <si>
    <t>FLUJO DE CAJA</t>
  </si>
  <si>
    <t>AÑO</t>
  </si>
  <si>
    <t>INGRESOS</t>
  </si>
  <si>
    <t>COSTOS FIJOS</t>
  </si>
  <si>
    <t>COSTOS VARIABLES</t>
  </si>
  <si>
    <t>DEPRECIACIÓN</t>
  </si>
  <si>
    <t>GoPC</t>
  </si>
  <si>
    <t>PEA</t>
  </si>
  <si>
    <t>UTILIDAD BRUTA</t>
  </si>
  <si>
    <t>IMPUESTO</t>
  </si>
  <si>
    <t>UTILIDAD NETA</t>
  </si>
  <si>
    <t>GoPC - R</t>
  </si>
  <si>
    <t>DEPRECIACION - R</t>
  </si>
  <si>
    <t>PEA - R</t>
  </si>
  <si>
    <t>FLUJO OPERACIONAL</t>
  </si>
  <si>
    <t>INVERSION</t>
  </si>
  <si>
    <t>RECUPERACION CdT</t>
  </si>
  <si>
    <t>FLUJO DE CAPITALES</t>
  </si>
  <si>
    <t>Depreciación</t>
  </si>
  <si>
    <t>VL</t>
  </si>
  <si>
    <t>Ingresos</t>
  </si>
  <si>
    <t>PRÉSTAMO</t>
  </si>
  <si>
    <t>AMORTIZACIONES</t>
  </si>
  <si>
    <t>INTERESES</t>
  </si>
  <si>
    <t>INTERES PRESTAMO</t>
  </si>
  <si>
    <t>CUOTAS</t>
  </si>
  <si>
    <t>CUOTA</t>
  </si>
  <si>
    <t>Periodo</t>
  </si>
  <si>
    <t>Saldo</t>
  </si>
  <si>
    <t>Amortizaciones</t>
  </si>
  <si>
    <t>Intereses</t>
  </si>
  <si>
    <t>Cuota</t>
  </si>
  <si>
    <t>PRESTAMO</t>
  </si>
  <si>
    <t>VAN</t>
  </si>
  <si>
    <t>CAPITAL DE TRABAJO</t>
  </si>
  <si>
    <t>VALOR RESIDUAL</t>
  </si>
  <si>
    <t>Costos Variables</t>
  </si>
  <si>
    <t>Demanda Producto C</t>
  </si>
  <si>
    <t>Demanda Producto B</t>
  </si>
  <si>
    <t>Demanda Producto A</t>
  </si>
  <si>
    <t>Producto</t>
  </si>
  <si>
    <t>Producto A</t>
  </si>
  <si>
    <t>Producto B</t>
  </si>
  <si>
    <t>Producto C</t>
  </si>
  <si>
    <t>Precio de Venta / ud</t>
  </si>
  <si>
    <t>Costo por Venta / ud</t>
  </si>
  <si>
    <t>Vida Útil</t>
  </si>
  <si>
    <t>Costo de Adquisición</t>
  </si>
  <si>
    <t>%VR</t>
  </si>
  <si>
    <t>TIR</t>
  </si>
  <si>
    <t>Tasa de Descuento</t>
  </si>
  <si>
    <t>Nombre:</t>
  </si>
  <si>
    <t>Instalaciones</t>
  </si>
  <si>
    <t>Transporte de logistica interna</t>
  </si>
  <si>
    <t xml:space="preserve">Camiones de despacho </t>
  </si>
  <si>
    <t>Valor residual</t>
  </si>
  <si>
    <t>Item</t>
  </si>
  <si>
    <t>V. Compra</t>
  </si>
  <si>
    <t>V. Residual</t>
  </si>
  <si>
    <t xml:space="preserve">Depreciación </t>
  </si>
  <si>
    <t>Valor Libro</t>
  </si>
  <si>
    <t>AUXILIAR 3 PRIMAVERA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</si>
</sst>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_ ;_ &quot;$&quot;* \-#,##0_ ;_ &quot;$&quot;* &quot;-&quot;_ ;_ @_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0" borderId="0" xfId="1" applyFont="1"/>
    <xf numFmtId="164" fontId="0" fillId="0" borderId="1" xfId="1" applyFont="1" applyBorder="1"/>
    <xf numFmtId="9" fontId="0" fillId="0" borderId="1" xfId="0" applyNumberForma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3" borderId="1" xfId="0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5" fontId="0" fillId="0" borderId="1" xfId="0" applyNumberFormat="1" applyBorder="1"/>
    <xf numFmtId="164" fontId="2" fillId="4" borderId="4" xfId="1" applyFont="1" applyFill="1" applyBorder="1" applyAlignment="1">
      <alignment horizontal="center" vertical="center"/>
    </xf>
    <xf numFmtId="164" fontId="0" fillId="0" borderId="5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1" xfId="0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9" fontId="2" fillId="4" borderId="1" xfId="0" applyNumberFormat="1" applyFont="1" applyFill="1" applyBorder="1"/>
    <xf numFmtId="10" fontId="2" fillId="4" borderId="1" xfId="0" applyNumberFormat="1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0" fillId="5" borderId="0" xfId="0" applyNumberForma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abSelected="1" zoomScaleNormal="100" workbookViewId="0">
      <selection activeCell="H43" sqref="H43"/>
    </sheetView>
  </sheetViews>
  <sheetFormatPr baseColWidth="10" defaultColWidth="9.140625" defaultRowHeight="15" x14ac:dyDescent="0.25"/>
  <cols>
    <col min="1" max="1" width="2.7109375" customWidth="1"/>
    <col min="2" max="2" width="33.42578125" style="1" customWidth="1"/>
    <col min="3" max="6" width="25.7109375" style="1" customWidth="1"/>
    <col min="7" max="7" width="25.7109375" customWidth="1"/>
    <col min="8" max="8" width="19.42578125" style="4" customWidth="1"/>
    <col min="9" max="11" width="15.7109375" style="4" customWidth="1"/>
    <col min="12" max="13" width="15.7109375" customWidth="1"/>
  </cols>
  <sheetData>
    <row r="2" spans="2:13" ht="34.5" customHeight="1" x14ac:dyDescent="0.25">
      <c r="B2" s="46" t="s">
        <v>63</v>
      </c>
      <c r="C2" s="47"/>
      <c r="D2" s="47"/>
      <c r="E2" s="47"/>
      <c r="F2" s="47"/>
      <c r="G2" s="47"/>
    </row>
    <row r="4" spans="2:13" x14ac:dyDescent="0.25">
      <c r="B4" s="48" t="s">
        <v>53</v>
      </c>
      <c r="C4" s="48"/>
      <c r="D4" s="48"/>
      <c r="E4" s="48"/>
      <c r="F4" s="48"/>
      <c r="G4" s="48"/>
    </row>
    <row r="6" spans="2:13" x14ac:dyDescent="0.25">
      <c r="B6" s="15" t="s">
        <v>42</v>
      </c>
      <c r="C6" s="15" t="s">
        <v>46</v>
      </c>
      <c r="E6" s="15" t="s">
        <v>42</v>
      </c>
      <c r="F6" s="15" t="s">
        <v>47</v>
      </c>
      <c r="G6" s="1"/>
      <c r="H6" s="1"/>
      <c r="I6" s="1"/>
      <c r="J6" s="1"/>
      <c r="K6" s="1"/>
      <c r="L6" s="1"/>
      <c r="M6" s="1"/>
    </row>
    <row r="7" spans="2:13" x14ac:dyDescent="0.25">
      <c r="B7" s="26" t="s">
        <v>43</v>
      </c>
      <c r="C7" s="10">
        <v>10500</v>
      </c>
      <c r="D7" s="29"/>
      <c r="E7" s="8" t="s">
        <v>43</v>
      </c>
      <c r="F7" s="10">
        <v>5000</v>
      </c>
      <c r="G7" s="29"/>
      <c r="H7" s="1"/>
      <c r="I7" s="1"/>
      <c r="J7" s="1"/>
      <c r="K7" s="1"/>
      <c r="L7" s="1"/>
      <c r="M7" s="1"/>
    </row>
    <row r="8" spans="2:13" x14ac:dyDescent="0.25">
      <c r="B8" s="26" t="s">
        <v>44</v>
      </c>
      <c r="C8" s="10">
        <v>12500</v>
      </c>
      <c r="E8" s="8" t="s">
        <v>44</v>
      </c>
      <c r="F8" s="10">
        <v>7000</v>
      </c>
      <c r="G8" s="1"/>
      <c r="H8" s="1"/>
      <c r="L8" s="1"/>
      <c r="M8" s="1"/>
    </row>
    <row r="9" spans="2:13" x14ac:dyDescent="0.25">
      <c r="B9" s="26" t="s">
        <v>45</v>
      </c>
      <c r="C9" s="10">
        <v>20500</v>
      </c>
      <c r="E9" s="8" t="s">
        <v>45</v>
      </c>
      <c r="F9" s="10">
        <v>13000</v>
      </c>
      <c r="G9" s="1"/>
      <c r="H9" s="1"/>
      <c r="I9" s="1"/>
      <c r="J9" s="1"/>
      <c r="K9" s="1"/>
      <c r="L9" s="4"/>
    </row>
    <row r="10" spans="2:13" x14ac:dyDescent="0.25">
      <c r="B10" s="27"/>
      <c r="G10" s="1"/>
      <c r="H10" s="1"/>
      <c r="L10" s="4"/>
    </row>
    <row r="11" spans="2:13" x14ac:dyDescent="0.25">
      <c r="B11" s="15" t="s">
        <v>0</v>
      </c>
      <c r="C11" s="16">
        <v>0</v>
      </c>
      <c r="D11" s="16">
        <v>1</v>
      </c>
      <c r="E11" s="16">
        <v>2</v>
      </c>
      <c r="F11" s="16">
        <v>3</v>
      </c>
      <c r="G11" s="16">
        <v>4</v>
      </c>
      <c r="H11" s="1"/>
      <c r="L11" s="4"/>
    </row>
    <row r="12" spans="2:13" x14ac:dyDescent="0.25">
      <c r="B12" s="26" t="s">
        <v>41</v>
      </c>
      <c r="C12" s="11">
        <v>0</v>
      </c>
      <c r="D12" s="9">
        <v>100000</v>
      </c>
      <c r="E12" s="9">
        <v>500000</v>
      </c>
      <c r="F12" s="9">
        <v>900000</v>
      </c>
      <c r="G12" s="9">
        <v>1400000</v>
      </c>
      <c r="H12" s="1"/>
      <c r="L12" s="4"/>
    </row>
    <row r="13" spans="2:13" x14ac:dyDescent="0.25">
      <c r="B13" s="26" t="s">
        <v>40</v>
      </c>
      <c r="C13" s="12">
        <v>0</v>
      </c>
      <c r="D13" s="3">
        <v>45000</v>
      </c>
      <c r="E13" s="3">
        <v>150000</v>
      </c>
      <c r="F13" s="3">
        <v>200000</v>
      </c>
      <c r="G13" s="3">
        <v>300000</v>
      </c>
      <c r="H13" s="1"/>
      <c r="L13" s="4"/>
    </row>
    <row r="14" spans="2:13" x14ac:dyDescent="0.25">
      <c r="B14" s="26" t="s">
        <v>39</v>
      </c>
      <c r="C14" s="12">
        <v>0</v>
      </c>
      <c r="D14" s="3">
        <v>5000</v>
      </c>
      <c r="E14" s="3">
        <v>10000</v>
      </c>
      <c r="F14" s="3">
        <v>20000</v>
      </c>
      <c r="G14" s="3">
        <v>40000</v>
      </c>
      <c r="H14" s="1"/>
      <c r="L14" s="4"/>
    </row>
    <row r="15" spans="2:13" x14ac:dyDescent="0.25">
      <c r="B15" s="24" t="s">
        <v>22</v>
      </c>
      <c r="C15" s="2">
        <v>0</v>
      </c>
      <c r="D15" s="2">
        <f>D12*$C$7+D13*$C$8+D14*$C$9</f>
        <v>1715000000</v>
      </c>
      <c r="E15" s="2">
        <f t="shared" ref="E15:G15" si="0">E12*$C$7+E13*$C$8+E14*$C$9</f>
        <v>7330000000</v>
      </c>
      <c r="F15" s="2">
        <f t="shared" si="0"/>
        <v>12360000000</v>
      </c>
      <c r="G15" s="2">
        <f t="shared" si="0"/>
        <v>19270000000</v>
      </c>
      <c r="H15" s="1"/>
      <c r="L15" s="4"/>
    </row>
    <row r="16" spans="2:13" x14ac:dyDescent="0.25">
      <c r="B16" s="24" t="s">
        <v>38</v>
      </c>
      <c r="C16" s="2">
        <v>0</v>
      </c>
      <c r="D16" s="2">
        <f>D12*$F$7+D13*$F$8+D14*$F$9</f>
        <v>880000000</v>
      </c>
      <c r="E16" s="2">
        <f t="shared" ref="E16:G16" si="1">E12*$F$7+E13*$F$8+E14*$F$9</f>
        <v>3680000000</v>
      </c>
      <c r="F16" s="2">
        <f t="shared" si="1"/>
        <v>6160000000</v>
      </c>
      <c r="G16" s="2">
        <f t="shared" si="1"/>
        <v>9620000000</v>
      </c>
      <c r="H16" s="1"/>
      <c r="L16" s="4"/>
    </row>
    <row r="17" spans="2:12" x14ac:dyDescent="0.25">
      <c r="H17" s="1"/>
      <c r="L17" s="4"/>
    </row>
    <row r="18" spans="2:12" x14ac:dyDescent="0.25">
      <c r="B18" s="23" t="s">
        <v>3</v>
      </c>
      <c r="C18" s="15">
        <v>0</v>
      </c>
      <c r="D18" s="15">
        <v>1</v>
      </c>
      <c r="E18" s="15">
        <v>2</v>
      </c>
      <c r="F18" s="15">
        <v>3</v>
      </c>
      <c r="G18" s="15">
        <v>4</v>
      </c>
      <c r="H18" s="1"/>
    </row>
    <row r="19" spans="2:12" x14ac:dyDescent="0.25">
      <c r="B19" s="24" t="s">
        <v>4</v>
      </c>
      <c r="C19" s="2"/>
      <c r="D19" s="2">
        <f>D15</f>
        <v>1715000000</v>
      </c>
      <c r="E19" s="2">
        <f t="shared" ref="E19:G19" si="2">E15</f>
        <v>7330000000</v>
      </c>
      <c r="F19" s="2">
        <f t="shared" si="2"/>
        <v>12360000000</v>
      </c>
      <c r="G19" s="2">
        <f t="shared" si="2"/>
        <v>19270000000</v>
      </c>
      <c r="H19" s="1"/>
    </row>
    <row r="20" spans="2:12" x14ac:dyDescent="0.25">
      <c r="B20" s="24" t="s">
        <v>5</v>
      </c>
      <c r="C20" s="2"/>
      <c r="D20" s="2">
        <f>-1300000000</f>
        <v>-1300000000</v>
      </c>
      <c r="E20" s="2">
        <v>-500000000</v>
      </c>
      <c r="F20" s="2">
        <v>-500000000</v>
      </c>
      <c r="G20" s="2">
        <v>-500000000</v>
      </c>
      <c r="H20" s="1"/>
    </row>
    <row r="21" spans="2:12" x14ac:dyDescent="0.25">
      <c r="B21" s="24" t="s">
        <v>6</v>
      </c>
      <c r="C21" s="2"/>
      <c r="D21" s="29">
        <f>-D16</f>
        <v>-880000000</v>
      </c>
      <c r="E21" s="29">
        <f>-E16</f>
        <v>-3680000000</v>
      </c>
      <c r="F21" s="29">
        <f>-F16</f>
        <v>-6160000000</v>
      </c>
      <c r="G21" s="29">
        <f>-G16</f>
        <v>-9620000000</v>
      </c>
      <c r="H21" s="1"/>
    </row>
    <row r="22" spans="2:12" x14ac:dyDescent="0.25">
      <c r="B22" s="24" t="s">
        <v>7</v>
      </c>
      <c r="C22" s="2"/>
      <c r="D22" s="2">
        <f>-'Depreciación, VR y GoPC'!F6</f>
        <v>-440000000</v>
      </c>
      <c r="E22" s="2">
        <f>-'Depreciación, VR y GoPC'!G6</f>
        <v>-440000000</v>
      </c>
      <c r="F22" s="2">
        <f>-'Depreciación, VR y GoPC'!H6</f>
        <v>-440000000</v>
      </c>
      <c r="G22" s="2">
        <f>-'Depreciación, VR y GoPC'!I6</f>
        <v>-440000000</v>
      </c>
    </row>
    <row r="23" spans="2:12" x14ac:dyDescent="0.25">
      <c r="B23" s="24" t="s">
        <v>25</v>
      </c>
      <c r="C23" s="2"/>
      <c r="D23" s="30">
        <f>-'Intereses y Amortizaciones'!E10</f>
        <v>-63750000</v>
      </c>
      <c r="E23" s="30">
        <f>-'Intereses y Amortizaciones'!E11</f>
        <v>-43527954.004758134</v>
      </c>
      <c r="F23" s="30">
        <f>-'Intereses y Amortizaciones'!E12</f>
        <v>-22294805.709754169</v>
      </c>
      <c r="G23" s="5"/>
    </row>
    <row r="24" spans="2:12" x14ac:dyDescent="0.25">
      <c r="B24" s="24" t="s">
        <v>8</v>
      </c>
      <c r="C24" s="2"/>
      <c r="D24" s="2"/>
      <c r="E24" s="2"/>
      <c r="F24" s="2"/>
      <c r="G24" s="34">
        <f>'Depreciación, VR y GoPC'!I17</f>
        <v>-170000000</v>
      </c>
    </row>
    <row r="25" spans="2:12" x14ac:dyDescent="0.25">
      <c r="B25" s="24" t="s">
        <v>9</v>
      </c>
      <c r="C25" s="2"/>
      <c r="D25" s="2"/>
      <c r="E25" s="2">
        <f>D26</f>
        <v>-968750000</v>
      </c>
      <c r="F25" s="2"/>
      <c r="G25" s="2"/>
    </row>
    <row r="26" spans="2:12" x14ac:dyDescent="0.25">
      <c r="B26" s="24" t="s">
        <v>10</v>
      </c>
      <c r="C26" s="2"/>
      <c r="D26" s="2">
        <f>SUM(D19:D24)</f>
        <v>-968750000</v>
      </c>
      <c r="E26" s="2">
        <f>SUM(E19:E25)</f>
        <v>1697722045.9952416</v>
      </c>
      <c r="F26" s="2">
        <f t="shared" ref="E26:G26" si="3">SUM(F19:F24)</f>
        <v>5237705194.290246</v>
      </c>
      <c r="G26" s="2">
        <f t="shared" si="3"/>
        <v>8540000000</v>
      </c>
    </row>
    <row r="27" spans="2:12" x14ac:dyDescent="0.25">
      <c r="B27" s="24" t="s">
        <v>11</v>
      </c>
      <c r="C27" s="2"/>
      <c r="D27" s="2"/>
      <c r="E27" s="2">
        <f>-0.27*E26</f>
        <v>-458384952.4187153</v>
      </c>
      <c r="F27" s="2">
        <f t="shared" ref="F27:G27" si="4">-0.27*F26</f>
        <v>-1414180402.4583666</v>
      </c>
      <c r="G27" s="2">
        <f t="shared" si="4"/>
        <v>-2305800000</v>
      </c>
    </row>
    <row r="28" spans="2:12" x14ac:dyDescent="0.25">
      <c r="B28" s="24" t="s">
        <v>12</v>
      </c>
      <c r="C28" s="2"/>
      <c r="D28" s="2">
        <f>D26+D27</f>
        <v>-968750000</v>
      </c>
      <c r="E28" s="2">
        <f>E26+E27</f>
        <v>1239337093.5765264</v>
      </c>
      <c r="F28" s="2">
        <f t="shared" ref="E28:G28" si="5">F26+F27</f>
        <v>3823524791.8318796</v>
      </c>
      <c r="G28" s="2">
        <f t="shared" si="5"/>
        <v>6234200000</v>
      </c>
    </row>
    <row r="29" spans="2:12" x14ac:dyDescent="0.25">
      <c r="B29" s="24" t="s">
        <v>14</v>
      </c>
      <c r="C29" s="2"/>
      <c r="D29" s="2">
        <f>-D22</f>
        <v>440000000</v>
      </c>
      <c r="E29" s="2">
        <f t="shared" ref="E29:G29" si="6">-E22</f>
        <v>440000000</v>
      </c>
      <c r="F29" s="2">
        <f t="shared" si="6"/>
        <v>440000000</v>
      </c>
      <c r="G29" s="2">
        <f t="shared" si="6"/>
        <v>440000000</v>
      </c>
    </row>
    <row r="30" spans="2:12" x14ac:dyDescent="0.25">
      <c r="B30" s="24" t="s">
        <v>13</v>
      </c>
      <c r="C30" s="2"/>
      <c r="D30" s="2">
        <f>-D24</f>
        <v>0</v>
      </c>
      <c r="E30" s="2">
        <f t="shared" ref="E30:G30" si="7">-E24</f>
        <v>0</v>
      </c>
      <c r="F30" s="2">
        <f t="shared" si="7"/>
        <v>0</v>
      </c>
      <c r="G30" s="2">
        <f t="shared" si="7"/>
        <v>170000000</v>
      </c>
    </row>
    <row r="31" spans="2:12" x14ac:dyDescent="0.25">
      <c r="B31" s="24" t="s">
        <v>15</v>
      </c>
      <c r="C31" s="2"/>
      <c r="D31" s="2">
        <f>-D25</f>
        <v>0</v>
      </c>
      <c r="E31" s="2">
        <f t="shared" ref="E31:G31" si="8">-E25</f>
        <v>968750000</v>
      </c>
      <c r="F31" s="2">
        <f t="shared" si="8"/>
        <v>0</v>
      </c>
      <c r="G31" s="2">
        <f t="shared" si="8"/>
        <v>0</v>
      </c>
    </row>
    <row r="32" spans="2:12" x14ac:dyDescent="0.25">
      <c r="B32" s="25" t="s">
        <v>16</v>
      </c>
      <c r="C32" s="18"/>
      <c r="D32" s="18">
        <f>SUM(D28:D31)</f>
        <v>-528750000</v>
      </c>
      <c r="E32" s="18">
        <f t="shared" ref="E32:G32" si="9">SUM(E28:E31)</f>
        <v>2648087093.5765266</v>
      </c>
      <c r="F32" s="18">
        <f t="shared" si="9"/>
        <v>4263524791.8318796</v>
      </c>
      <c r="G32" s="18">
        <f t="shared" si="9"/>
        <v>6844200000</v>
      </c>
    </row>
    <row r="33" spans="2:7" x14ac:dyDescent="0.25">
      <c r="B33" s="24" t="s">
        <v>17</v>
      </c>
      <c r="C33" s="2">
        <f>-(500000000+2000000000+200000000)</f>
        <v>-2700000000</v>
      </c>
      <c r="D33" s="2"/>
      <c r="E33" s="2"/>
      <c r="F33" s="2"/>
      <c r="G33" s="2"/>
    </row>
    <row r="34" spans="2:7" x14ac:dyDescent="0.25">
      <c r="B34" s="24" t="s">
        <v>37</v>
      </c>
      <c r="C34" s="2"/>
      <c r="D34" s="2"/>
      <c r="E34" s="2"/>
      <c r="F34" s="2"/>
      <c r="G34" s="2">
        <f>'Depreciación, VR y GoPC'!E17</f>
        <v>770000000</v>
      </c>
    </row>
    <row r="35" spans="2:7" x14ac:dyDescent="0.25">
      <c r="B35" s="24" t="s">
        <v>36</v>
      </c>
      <c r="C35" s="2">
        <f>5/12 * (D20+D21)</f>
        <v>-908333333.33333337</v>
      </c>
      <c r="E35" s="2"/>
      <c r="F35" s="2"/>
      <c r="G35" s="2"/>
    </row>
    <row r="36" spans="2:7" x14ac:dyDescent="0.25">
      <c r="B36" s="24" t="s">
        <v>18</v>
      </c>
      <c r="C36" s="2"/>
      <c r="D36" s="2"/>
      <c r="E36" s="2"/>
      <c r="F36" s="2"/>
      <c r="G36" s="5">
        <f>C35*-1</f>
        <v>908333333.33333337</v>
      </c>
    </row>
    <row r="37" spans="2:7" x14ac:dyDescent="0.25">
      <c r="B37" s="24" t="s">
        <v>23</v>
      </c>
      <c r="C37" s="2">
        <f>'Intereses y Amortizaciones'!C2</f>
        <v>1275000000</v>
      </c>
      <c r="D37" s="2"/>
      <c r="E37" s="2"/>
      <c r="F37" s="2"/>
      <c r="G37" s="7"/>
    </row>
    <row r="38" spans="2:7" x14ac:dyDescent="0.25">
      <c r="B38" s="24" t="s">
        <v>24</v>
      </c>
      <c r="C38" s="2"/>
      <c r="D38" s="2">
        <f>-'Intereses y Amortizaciones'!D10</f>
        <v>-404440919.90483743</v>
      </c>
      <c r="E38" s="2">
        <f>-'Intereses y Amortizaciones'!D11</f>
        <v>-424662965.90007931</v>
      </c>
      <c r="F38" s="2">
        <f>-'Intereses y Amortizaciones'!D12</f>
        <v>-445896114.19508326</v>
      </c>
      <c r="G38" s="5"/>
    </row>
    <row r="39" spans="2:7" x14ac:dyDescent="0.25">
      <c r="B39" s="25" t="s">
        <v>19</v>
      </c>
      <c r="C39" s="18">
        <f>SUM(C33:C38)</f>
        <v>-2333333333.3333335</v>
      </c>
      <c r="D39" s="18">
        <f t="shared" ref="D39:G39" si="10">SUM(D33:D38)</f>
        <v>-404440919.90483743</v>
      </c>
      <c r="E39" s="18">
        <f t="shared" si="10"/>
        <v>-424662965.90007931</v>
      </c>
      <c r="F39" s="18">
        <f t="shared" si="10"/>
        <v>-445896114.19508326</v>
      </c>
      <c r="G39" s="18">
        <f t="shared" si="10"/>
        <v>1678333333.3333335</v>
      </c>
    </row>
    <row r="40" spans="2:7" x14ac:dyDescent="0.25">
      <c r="B40" s="23" t="s">
        <v>2</v>
      </c>
      <c r="C40" s="17">
        <f>C32+C39</f>
        <v>-2333333333.3333335</v>
      </c>
      <c r="D40" s="17">
        <f t="shared" ref="D40:G40" si="11">D32+D39</f>
        <v>-933190919.90483737</v>
      </c>
      <c r="E40" s="17">
        <f t="shared" si="11"/>
        <v>2223424127.6764474</v>
      </c>
      <c r="F40" s="17">
        <f t="shared" si="11"/>
        <v>3817628677.6367965</v>
      </c>
      <c r="G40" s="17">
        <f t="shared" si="11"/>
        <v>8522533333.333334</v>
      </c>
    </row>
    <row r="42" spans="2:7" x14ac:dyDescent="0.25">
      <c r="B42" s="15" t="s">
        <v>52</v>
      </c>
      <c r="C42" s="44">
        <v>0.1</v>
      </c>
      <c r="E42" s="15" t="s">
        <v>35</v>
      </c>
      <c r="F42" s="19">
        <f>NPV(C42,D40:G40)+C40</f>
        <v>7345097756.6393242</v>
      </c>
      <c r="G42" s="1"/>
    </row>
    <row r="43" spans="2:7" x14ac:dyDescent="0.25">
      <c r="G43" s="1"/>
    </row>
    <row r="44" spans="2:7" x14ac:dyDescent="0.25">
      <c r="E44" s="15" t="s">
        <v>51</v>
      </c>
      <c r="F44" s="45">
        <f>IRR(C40:G40)</f>
        <v>0.63378954402083365</v>
      </c>
      <c r="G44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61" spans="7:7" x14ac:dyDescent="0.25">
      <c r="G61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</sheetData>
  <mergeCells count="2">
    <mergeCell ref="B2:G2"/>
    <mergeCell ref="B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7"/>
  <sheetViews>
    <sheetView workbookViewId="0">
      <selection activeCell="E22" sqref="E22"/>
    </sheetView>
  </sheetViews>
  <sheetFormatPr baseColWidth="10" defaultRowHeight="15" x14ac:dyDescent="0.25"/>
  <cols>
    <col min="1" max="1" width="2.7109375" customWidth="1"/>
    <col min="2" max="2" width="27" customWidth="1"/>
    <col min="3" max="10" width="14.5703125" customWidth="1"/>
    <col min="12" max="12" width="12.85546875" customWidth="1"/>
  </cols>
  <sheetData>
    <row r="2" spans="2:10" ht="30.75" thickBot="1" x14ac:dyDescent="0.3">
      <c r="B2" s="20" t="s">
        <v>20</v>
      </c>
      <c r="C2" s="20" t="s">
        <v>48</v>
      </c>
      <c r="D2" s="21" t="s">
        <v>49</v>
      </c>
      <c r="E2" s="21">
        <v>0</v>
      </c>
      <c r="F2" s="21">
        <v>1</v>
      </c>
      <c r="G2" s="21">
        <v>2</v>
      </c>
      <c r="H2" s="21">
        <v>3</v>
      </c>
      <c r="I2" s="21">
        <v>4</v>
      </c>
      <c r="J2" s="36" t="s">
        <v>21</v>
      </c>
    </row>
    <row r="3" spans="2:10" ht="15.75" thickBot="1" x14ac:dyDescent="0.3">
      <c r="B3" s="8" t="s">
        <v>54</v>
      </c>
      <c r="C3" s="8">
        <v>25</v>
      </c>
      <c r="D3" s="2">
        <v>500000000</v>
      </c>
      <c r="E3" s="2">
        <v>0</v>
      </c>
      <c r="F3" s="2">
        <f>$D3/$C3</f>
        <v>20000000</v>
      </c>
      <c r="G3" s="2">
        <f t="shared" ref="F3:I5" si="0">$D3/$C3</f>
        <v>20000000</v>
      </c>
      <c r="H3" s="2">
        <f t="shared" si="0"/>
        <v>20000000</v>
      </c>
      <c r="I3" s="2">
        <f t="shared" si="0"/>
        <v>20000000</v>
      </c>
      <c r="J3" s="37">
        <f>D3-(F3+G3+H3+I3)</f>
        <v>420000000</v>
      </c>
    </row>
    <row r="4" spans="2:10" ht="37.15" customHeight="1" thickBot="1" x14ac:dyDescent="0.3">
      <c r="B4" s="31" t="s">
        <v>55</v>
      </c>
      <c r="C4" s="31">
        <v>5</v>
      </c>
      <c r="D4" s="32">
        <v>2000000000</v>
      </c>
      <c r="E4" s="2">
        <v>0</v>
      </c>
      <c r="F4" s="2">
        <f t="shared" si="0"/>
        <v>400000000</v>
      </c>
      <c r="G4" s="2">
        <f t="shared" si="0"/>
        <v>400000000</v>
      </c>
      <c r="H4" s="2">
        <f t="shared" si="0"/>
        <v>400000000</v>
      </c>
      <c r="I4" s="2">
        <f t="shared" si="0"/>
        <v>400000000</v>
      </c>
      <c r="J4" s="37">
        <f>D4-(F4+G4+H4+I4)</f>
        <v>400000000</v>
      </c>
    </row>
    <row r="5" spans="2:10" x14ac:dyDescent="0.25">
      <c r="B5" s="8" t="s">
        <v>56</v>
      </c>
      <c r="C5" s="8">
        <v>10</v>
      </c>
      <c r="D5" s="2">
        <v>200000000</v>
      </c>
      <c r="E5" s="2">
        <v>0</v>
      </c>
      <c r="F5" s="2">
        <f t="shared" si="0"/>
        <v>20000000</v>
      </c>
      <c r="G5" s="2">
        <f t="shared" si="0"/>
        <v>20000000</v>
      </c>
      <c r="H5" s="2">
        <f t="shared" si="0"/>
        <v>20000000</v>
      </c>
      <c r="I5" s="2">
        <f t="shared" si="0"/>
        <v>20000000</v>
      </c>
      <c r="J5" s="37">
        <f>D5-(F5+G5+H5+I5)</f>
        <v>120000000</v>
      </c>
    </row>
    <row r="6" spans="2:10" x14ac:dyDescent="0.25">
      <c r="B6" s="14" t="s">
        <v>1</v>
      </c>
      <c r="C6" s="14"/>
      <c r="D6" s="13">
        <f>SUM(D3:D5)</f>
        <v>2700000000</v>
      </c>
      <c r="E6" s="13"/>
      <c r="F6" s="13">
        <f t="shared" ref="E6:J6" si="1">SUM(F3:F5)</f>
        <v>440000000</v>
      </c>
      <c r="G6" s="13">
        <f t="shared" si="1"/>
        <v>440000000</v>
      </c>
      <c r="H6" s="13">
        <f t="shared" si="1"/>
        <v>440000000</v>
      </c>
      <c r="I6" s="13">
        <f t="shared" si="1"/>
        <v>440000000</v>
      </c>
      <c r="J6" s="13">
        <f>SUM(J3:J5)</f>
        <v>940000000</v>
      </c>
    </row>
    <row r="11" spans="2:10" ht="15.75" thickBot="1" x14ac:dyDescent="0.3"/>
    <row r="12" spans="2:10" x14ac:dyDescent="0.25">
      <c r="C12" s="49" t="s">
        <v>57</v>
      </c>
      <c r="D12" s="50"/>
      <c r="E12" s="51"/>
      <c r="F12" s="49" t="s">
        <v>8</v>
      </c>
      <c r="G12" s="51"/>
    </row>
    <row r="13" spans="2:10" x14ac:dyDescent="0.25">
      <c r="B13" s="28" t="s">
        <v>58</v>
      </c>
      <c r="C13" s="42" t="s">
        <v>59</v>
      </c>
      <c r="D13" s="33" t="s">
        <v>50</v>
      </c>
      <c r="E13" s="39" t="s">
        <v>60</v>
      </c>
      <c r="F13" s="38" t="s">
        <v>61</v>
      </c>
      <c r="G13" s="39" t="s">
        <v>62</v>
      </c>
    </row>
    <row r="14" spans="2:10" x14ac:dyDescent="0.25">
      <c r="B14" s="28">
        <v>1</v>
      </c>
      <c r="C14" s="43">
        <f>D3</f>
        <v>500000000</v>
      </c>
      <c r="D14" s="35">
        <v>0.3</v>
      </c>
      <c r="E14" s="41">
        <f>C14*D14</f>
        <v>150000000</v>
      </c>
      <c r="F14" s="40">
        <f>SUM(F3:I3)</f>
        <v>80000000</v>
      </c>
      <c r="G14" s="41">
        <f>C14-F14</f>
        <v>420000000</v>
      </c>
    </row>
    <row r="15" spans="2:10" x14ac:dyDescent="0.25">
      <c r="B15" s="28">
        <v>2</v>
      </c>
      <c r="C15" s="43">
        <f t="shared" ref="C15:G17" si="2">D4</f>
        <v>2000000000</v>
      </c>
      <c r="D15" s="35">
        <v>0.3</v>
      </c>
      <c r="E15" s="41">
        <f t="shared" ref="E15:E16" si="3">C15*D15</f>
        <v>600000000</v>
      </c>
      <c r="F15" s="40">
        <f>SUM(F4:I4)</f>
        <v>1600000000</v>
      </c>
      <c r="G15" s="41">
        <f t="shared" ref="G15:G16" si="4">C15-F15</f>
        <v>400000000</v>
      </c>
    </row>
    <row r="16" spans="2:10" x14ac:dyDescent="0.25">
      <c r="B16" s="28">
        <v>3</v>
      </c>
      <c r="C16" s="43">
        <f t="shared" si="2"/>
        <v>200000000</v>
      </c>
      <c r="D16" s="35">
        <v>0.1</v>
      </c>
      <c r="E16" s="41">
        <f t="shared" si="3"/>
        <v>20000000</v>
      </c>
      <c r="F16" s="40">
        <f t="shared" ref="F15:F16" si="5">SUM(F5:I5)</f>
        <v>80000000</v>
      </c>
      <c r="G16" s="41">
        <f t="shared" si="4"/>
        <v>120000000</v>
      </c>
      <c r="I16" s="22" t="s">
        <v>8</v>
      </c>
    </row>
    <row r="17" spans="2:9" x14ac:dyDescent="0.25">
      <c r="B17" s="28" t="s">
        <v>1</v>
      </c>
      <c r="C17" s="43">
        <f>SUM(C14:C16)</f>
        <v>2700000000</v>
      </c>
      <c r="D17" s="43"/>
      <c r="E17" s="43">
        <f t="shared" ref="D17:G17" si="6">SUM(E14:E16)</f>
        <v>770000000</v>
      </c>
      <c r="F17" s="43">
        <f t="shared" si="6"/>
        <v>1760000000</v>
      </c>
      <c r="G17" s="43">
        <f t="shared" si="6"/>
        <v>940000000</v>
      </c>
      <c r="I17" s="34">
        <f>E17-G17</f>
        <v>-170000000</v>
      </c>
    </row>
  </sheetData>
  <mergeCells count="2">
    <mergeCell ref="C12:E12"/>
    <mergeCell ref="F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3"/>
  <sheetViews>
    <sheetView workbookViewId="0">
      <selection activeCell="F10" sqref="F10"/>
    </sheetView>
  </sheetViews>
  <sheetFormatPr baseColWidth="10" defaultRowHeight="15" x14ac:dyDescent="0.25"/>
  <cols>
    <col min="1" max="1" width="2.7109375" customWidth="1"/>
    <col min="2" max="6" width="20.7109375" customWidth="1"/>
  </cols>
  <sheetData>
    <row r="2" spans="2:6" x14ac:dyDescent="0.25">
      <c r="B2" s="15" t="s">
        <v>34</v>
      </c>
      <c r="C2" s="13">
        <v>1275000000</v>
      </c>
      <c r="D2" s="1"/>
      <c r="E2" s="1"/>
      <c r="F2" s="1"/>
    </row>
    <row r="3" spans="2:6" x14ac:dyDescent="0.25">
      <c r="B3" s="15" t="s">
        <v>26</v>
      </c>
      <c r="C3" s="6">
        <v>0.05</v>
      </c>
      <c r="D3" s="1"/>
      <c r="E3" s="1"/>
      <c r="F3" s="1"/>
    </row>
    <row r="4" spans="2:6" x14ac:dyDescent="0.25">
      <c r="B4" s="15" t="s">
        <v>27</v>
      </c>
      <c r="C4" s="14">
        <v>3</v>
      </c>
      <c r="D4" s="1"/>
      <c r="E4" s="1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15" t="s">
        <v>28</v>
      </c>
      <c r="C6" s="13">
        <f>-PMT(C3,C4,C2,0,0)</f>
        <v>468190919.90483743</v>
      </c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5" t="s">
        <v>29</v>
      </c>
      <c r="C8" s="15" t="s">
        <v>30</v>
      </c>
      <c r="D8" s="15" t="s">
        <v>31</v>
      </c>
      <c r="E8" s="15" t="s">
        <v>32</v>
      </c>
      <c r="F8" s="15" t="s">
        <v>33</v>
      </c>
    </row>
    <row r="9" spans="2:6" x14ac:dyDescent="0.25">
      <c r="B9" s="14">
        <v>0</v>
      </c>
      <c r="C9" s="7">
        <f>C2</f>
        <v>1275000000</v>
      </c>
      <c r="D9" s="7"/>
      <c r="E9" s="7"/>
      <c r="F9" s="7"/>
    </row>
    <row r="10" spans="2:6" x14ac:dyDescent="0.25">
      <c r="B10" s="14">
        <v>1</v>
      </c>
      <c r="C10" s="2">
        <f>C9-D10</f>
        <v>870559080.09516263</v>
      </c>
      <c r="D10" s="2">
        <f>F10-E10</f>
        <v>404440919.90483743</v>
      </c>
      <c r="E10" s="2">
        <f>$C$3*C9</f>
        <v>63750000</v>
      </c>
      <c r="F10" s="2">
        <f>$C$6</f>
        <v>468190919.90483743</v>
      </c>
    </row>
    <row r="11" spans="2:6" x14ac:dyDescent="0.25">
      <c r="B11" s="14">
        <v>2</v>
      </c>
      <c r="C11" s="2">
        <f t="shared" ref="C11:C12" si="0">C10-D11</f>
        <v>445896114.19508332</v>
      </c>
      <c r="D11" s="2">
        <f t="shared" ref="D11:D12" si="1">F11-E11</f>
        <v>424662965.90007931</v>
      </c>
      <c r="E11" s="2">
        <f t="shared" ref="E11:E12" si="2">$C$3*C10</f>
        <v>43527954.004758134</v>
      </c>
      <c r="F11" s="2">
        <f t="shared" ref="F11:F12" si="3">$C$6</f>
        <v>468190919.90483743</v>
      </c>
    </row>
    <row r="12" spans="2:6" x14ac:dyDescent="0.25">
      <c r="B12" s="14">
        <v>3</v>
      </c>
      <c r="C12" s="2">
        <f t="shared" si="0"/>
        <v>0</v>
      </c>
      <c r="D12" s="2">
        <f t="shared" si="1"/>
        <v>445896114.19508326</v>
      </c>
      <c r="E12" s="2">
        <f t="shared" si="2"/>
        <v>22294805.709754169</v>
      </c>
      <c r="F12" s="2">
        <f t="shared" si="3"/>
        <v>468190919.90483743</v>
      </c>
    </row>
    <row r="13" spans="2:6" x14ac:dyDescent="0.25">
      <c r="D13" s="52">
        <f>SUM(D10:D12)</f>
        <v>1275000000</v>
      </c>
      <c r="E13" s="52">
        <f>SUM(E10:E12)</f>
        <v>129572759.7145123</v>
      </c>
      <c r="F13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Flujo de Caja</vt:lpstr>
      <vt:lpstr>Depreciación, VR y GoPC</vt:lpstr>
      <vt:lpstr>Intereses y Amortizaciones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GERARDO BEAS</cp:lastModifiedBy>
  <dcterms:created xsi:type="dcterms:W3CDTF">2015-06-05T18:17:20Z</dcterms:created>
  <dcterms:modified xsi:type="dcterms:W3CDTF">2025-10-21T17:23:33Z</dcterms:modified>
</cp:coreProperties>
</file>