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la B07\Downloads\"/>
    </mc:Choice>
  </mc:AlternateContent>
  <bookViews>
    <workbookView xWindow="0" yWindow="0" windowWidth="21570" windowHeight="8025" firstSheet="1" activeTab="3"/>
  </bookViews>
  <sheets>
    <sheet name="Weibull 2 param" sheetId="1" r:id="rId1"/>
    <sheet name="Normal" sheetId="2" r:id="rId2"/>
    <sheet name="Weibull 3 param" sheetId="3" r:id="rId3"/>
    <sheet name="ML Weibull" sheetId="4" r:id="rId4"/>
    <sheet name="ML Gamma" sheetId="5" r:id="rId5"/>
    <sheet name="Metodo de los momentos" sheetId="6" r:id="rId6"/>
  </sheets>
  <definedNames>
    <definedName name="solver_adj" localSheetId="5" hidden="1">'Metodo de los momentos'!$H$3:$I$3</definedName>
    <definedName name="solver_adj" localSheetId="4" hidden="1">'ML Gamma'!$J$4,'ML Gamma'!$K$4</definedName>
    <definedName name="solver_adj" localSheetId="3" hidden="1">'ML Weibull'!$I$8</definedName>
    <definedName name="solver_adj" localSheetId="2" hidden="1">'Weibull 3 param'!$O$10</definedName>
    <definedName name="solver_cvg" localSheetId="5" hidden="1">0.0001</definedName>
    <definedName name="solver_cvg" localSheetId="4" hidden="1">0.0001</definedName>
    <definedName name="solver_cvg" localSheetId="3" hidden="1">0.0001</definedName>
    <definedName name="solver_cvg" localSheetId="2" hidden="1">0.0001</definedName>
    <definedName name="solver_drv" localSheetId="5" hidden="1">1</definedName>
    <definedName name="solver_drv" localSheetId="4" hidden="1">2</definedName>
    <definedName name="solver_drv" localSheetId="3" hidden="1">2</definedName>
    <definedName name="solver_drv" localSheetId="2" hidden="1">2</definedName>
    <definedName name="solver_eng" localSheetId="5" hidden="1">1</definedName>
    <definedName name="solver_eng" localSheetId="4" hidden="1">1</definedName>
    <definedName name="solver_eng" localSheetId="3" hidden="1">1</definedName>
    <definedName name="solver_eng" localSheetId="2" hidden="1">1</definedName>
    <definedName name="solver_est" localSheetId="5" hidden="1">1</definedName>
    <definedName name="solver_est" localSheetId="4" hidden="1">1</definedName>
    <definedName name="solver_est" localSheetId="3" hidden="1">1</definedName>
    <definedName name="solver_est" localSheetId="2" hidden="1">1</definedName>
    <definedName name="solver_itr" localSheetId="5" hidden="1">2147483647</definedName>
    <definedName name="solver_itr" localSheetId="4" hidden="1">2147483647</definedName>
    <definedName name="solver_itr" localSheetId="3" hidden="1">2147483647</definedName>
    <definedName name="solver_itr" localSheetId="2" hidden="1">2147483647</definedName>
    <definedName name="solver_mip" localSheetId="5" hidden="1">2147483647</definedName>
    <definedName name="solver_mip" localSheetId="4" hidden="1">2147483647</definedName>
    <definedName name="solver_mip" localSheetId="3" hidden="1">2147483647</definedName>
    <definedName name="solver_mip" localSheetId="2" hidden="1">2147483647</definedName>
    <definedName name="solver_mni" localSheetId="5" hidden="1">30</definedName>
    <definedName name="solver_mni" localSheetId="4" hidden="1">30</definedName>
    <definedName name="solver_mni" localSheetId="3" hidden="1">30</definedName>
    <definedName name="solver_mni" localSheetId="2" hidden="1">30</definedName>
    <definedName name="solver_mrt" localSheetId="5" hidden="1">0.075</definedName>
    <definedName name="solver_mrt" localSheetId="4" hidden="1">0.075</definedName>
    <definedName name="solver_mrt" localSheetId="3" hidden="1">0.075</definedName>
    <definedName name="solver_mrt" localSheetId="2" hidden="1">0.075</definedName>
    <definedName name="solver_msl" localSheetId="5" hidden="1">2</definedName>
    <definedName name="solver_msl" localSheetId="4" hidden="1">2</definedName>
    <definedName name="solver_msl" localSheetId="3" hidden="1">2</definedName>
    <definedName name="solver_msl" localSheetId="2" hidden="1">2</definedName>
    <definedName name="solver_neg" localSheetId="5" hidden="1">1</definedName>
    <definedName name="solver_neg" localSheetId="4" hidden="1">1</definedName>
    <definedName name="solver_neg" localSheetId="3" hidden="1">1</definedName>
    <definedName name="solver_neg" localSheetId="2" hidden="1">1</definedName>
    <definedName name="solver_nod" localSheetId="5" hidden="1">2147483647</definedName>
    <definedName name="solver_nod" localSheetId="4" hidden="1">2147483647</definedName>
    <definedName name="solver_nod" localSheetId="3" hidden="1">2147483647</definedName>
    <definedName name="solver_nod" localSheetId="2" hidden="1">2147483647</definedName>
    <definedName name="solver_num" localSheetId="5" hidden="1">0</definedName>
    <definedName name="solver_num" localSheetId="4" hidden="1">0</definedName>
    <definedName name="solver_num" localSheetId="3" hidden="1">0</definedName>
    <definedName name="solver_num" localSheetId="2" hidden="1">0</definedName>
    <definedName name="solver_nwt" localSheetId="5" hidden="1">1</definedName>
    <definedName name="solver_nwt" localSheetId="4" hidden="1">1</definedName>
    <definedName name="solver_nwt" localSheetId="3" hidden="1">1</definedName>
    <definedName name="solver_nwt" localSheetId="2" hidden="1">1</definedName>
    <definedName name="solver_opt" localSheetId="5" hidden="1">'Metodo de los momentos'!$E$14</definedName>
    <definedName name="solver_opt" localSheetId="4" hidden="1">'ML Gamma'!$D$13</definedName>
    <definedName name="solver_opt" localSheetId="3" hidden="1">'ML Weibull'!$M$8</definedName>
    <definedName name="solver_opt" localSheetId="2" hidden="1">'Weibull 3 param'!$O$11</definedName>
    <definedName name="solver_pre" localSheetId="5" hidden="1">0.000001</definedName>
    <definedName name="solver_pre" localSheetId="4" hidden="1">0.000001</definedName>
    <definedName name="solver_pre" localSheetId="3" hidden="1">0.000001</definedName>
    <definedName name="solver_pre" localSheetId="2" hidden="1">0.000001</definedName>
    <definedName name="solver_rbv" localSheetId="5" hidden="1">1</definedName>
    <definedName name="solver_rbv" localSheetId="4" hidden="1">2</definedName>
    <definedName name="solver_rbv" localSheetId="3" hidden="1">2</definedName>
    <definedName name="solver_rbv" localSheetId="2" hidden="1">2</definedName>
    <definedName name="solver_rlx" localSheetId="5" hidden="1">2</definedName>
    <definedName name="solver_rlx" localSheetId="4" hidden="1">2</definedName>
    <definedName name="solver_rlx" localSheetId="3" hidden="1">2</definedName>
    <definedName name="solver_rlx" localSheetId="2" hidden="1">2</definedName>
    <definedName name="solver_rsd" localSheetId="5" hidden="1">0</definedName>
    <definedName name="solver_rsd" localSheetId="4" hidden="1">0</definedName>
    <definedName name="solver_rsd" localSheetId="3" hidden="1">0</definedName>
    <definedName name="solver_rsd" localSheetId="2" hidden="1">0</definedName>
    <definedName name="solver_scl" localSheetId="5" hidden="1">1</definedName>
    <definedName name="solver_scl" localSheetId="4" hidden="1">2</definedName>
    <definedName name="solver_scl" localSheetId="3" hidden="1">2</definedName>
    <definedName name="solver_scl" localSheetId="2" hidden="1">2</definedName>
    <definedName name="solver_sho" localSheetId="5" hidden="1">2</definedName>
    <definedName name="solver_sho" localSheetId="4" hidden="1">2</definedName>
    <definedName name="solver_sho" localSheetId="3" hidden="1">2</definedName>
    <definedName name="solver_sho" localSheetId="2" hidden="1">2</definedName>
    <definedName name="solver_ssz" localSheetId="5" hidden="1">100</definedName>
    <definedName name="solver_ssz" localSheetId="4" hidden="1">100</definedName>
    <definedName name="solver_ssz" localSheetId="3" hidden="1">100</definedName>
    <definedName name="solver_ssz" localSheetId="2" hidden="1">100</definedName>
    <definedName name="solver_tim" localSheetId="5" hidden="1">2147483647</definedName>
    <definedName name="solver_tim" localSheetId="4" hidden="1">2147483647</definedName>
    <definedName name="solver_tim" localSheetId="3" hidden="1">2147483647</definedName>
    <definedName name="solver_tim" localSheetId="2" hidden="1">2147483647</definedName>
    <definedName name="solver_tol" localSheetId="5" hidden="1">0.01</definedName>
    <definedName name="solver_tol" localSheetId="4" hidden="1">0.01</definedName>
    <definedName name="solver_tol" localSheetId="3" hidden="1">0.01</definedName>
    <definedName name="solver_tol" localSheetId="2" hidden="1">0.01</definedName>
    <definedName name="solver_typ" localSheetId="5" hidden="1">2</definedName>
    <definedName name="solver_typ" localSheetId="4" hidden="1">1</definedName>
    <definedName name="solver_typ" localSheetId="3" hidden="1">2</definedName>
    <definedName name="solver_typ" localSheetId="2" hidden="1">1</definedName>
    <definedName name="solver_val" localSheetId="5" hidden="1">0</definedName>
    <definedName name="solver_val" localSheetId="4" hidden="1">0</definedName>
    <definedName name="solver_val" localSheetId="3" hidden="1">0</definedName>
    <definedName name="solver_val" localSheetId="2" hidden="1">0</definedName>
    <definedName name="solver_ver" localSheetId="5" hidden="1">3</definedName>
    <definedName name="solver_ver" localSheetId="4" hidden="1">3</definedName>
    <definedName name="solver_ver" localSheetId="3" hidden="1">3</definedName>
    <definedName name="solver_ver" localSheetId="2" hidden="1">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J8" i="4"/>
  <c r="N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N4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10" i="4"/>
  <c r="T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6" i="3"/>
  <c r="L15" i="3"/>
  <c r="F14" i="4"/>
  <c r="H7" i="3"/>
  <c r="H8" i="3"/>
  <c r="H9" i="3"/>
  <c r="H10" i="3"/>
  <c r="H11" i="3"/>
  <c r="H12" i="3"/>
  <c r="H6" i="3"/>
  <c r="I12" i="3" s="1"/>
  <c r="F9" i="6"/>
  <c r="D4" i="6"/>
  <c r="D5" i="6"/>
  <c r="D6" i="6"/>
  <c r="D7" i="6"/>
  <c r="D8" i="6"/>
  <c r="D9" i="6"/>
  <c r="D3" i="6"/>
  <c r="K8" i="4" l="1"/>
  <c r="M8" i="4" s="1"/>
  <c r="K6" i="4"/>
  <c r="J6" i="4"/>
  <c r="D12" i="6"/>
  <c r="E12" i="6" s="1"/>
  <c r="D11" i="6"/>
  <c r="E11" i="6" s="1"/>
  <c r="C12" i="6"/>
  <c r="C11" i="6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10" i="5"/>
  <c r="D5" i="5"/>
  <c r="D6" i="5"/>
  <c r="D7" i="5"/>
  <c r="D8" i="5"/>
  <c r="D9" i="5"/>
  <c r="D10" i="5"/>
  <c r="D4" i="5"/>
  <c r="C12" i="5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10" i="4"/>
  <c r="D5" i="4"/>
  <c r="D6" i="4"/>
  <c r="D7" i="4"/>
  <c r="D8" i="4"/>
  <c r="D9" i="4"/>
  <c r="D10" i="4"/>
  <c r="D4" i="4"/>
  <c r="C12" i="4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D7" i="3"/>
  <c r="D8" i="3"/>
  <c r="D9" i="3"/>
  <c r="D10" i="3"/>
  <c r="D11" i="3"/>
  <c r="D12" i="3"/>
  <c r="D6" i="3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K7" i="2"/>
  <c r="K10" i="2" s="1"/>
  <c r="K11" i="2" s="1"/>
  <c r="K8" i="2"/>
  <c r="G7" i="2"/>
  <c r="H7" i="2" s="1"/>
  <c r="G6" i="2"/>
  <c r="H6" i="2" s="1"/>
  <c r="E12" i="2"/>
  <c r="F12" i="2" s="1"/>
  <c r="G12" i="2" s="1"/>
  <c r="H12" i="2" s="1"/>
  <c r="D12" i="2"/>
  <c r="E11" i="2"/>
  <c r="F11" i="2" s="1"/>
  <c r="G11" i="2" s="1"/>
  <c r="H11" i="2" s="1"/>
  <c r="D11" i="2"/>
  <c r="E10" i="2"/>
  <c r="F10" i="2" s="1"/>
  <c r="G10" i="2" s="1"/>
  <c r="H10" i="2" s="1"/>
  <c r="D10" i="2"/>
  <c r="E9" i="2"/>
  <c r="F9" i="2" s="1"/>
  <c r="G9" i="2" s="1"/>
  <c r="H9" i="2" s="1"/>
  <c r="D9" i="2"/>
  <c r="E8" i="2"/>
  <c r="F8" i="2" s="1"/>
  <c r="G8" i="2" s="1"/>
  <c r="H8" i="2" s="1"/>
  <c r="D8" i="2"/>
  <c r="E7" i="2"/>
  <c r="F7" i="2" s="1"/>
  <c r="D7" i="2"/>
  <c r="E6" i="2"/>
  <c r="F6" i="2" s="1"/>
  <c r="D6" i="2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12" i="1"/>
  <c r="F12" i="1" s="1"/>
  <c r="G12" i="1" s="1"/>
  <c r="E6" i="1"/>
  <c r="F6" i="1" s="1"/>
  <c r="G6" i="1" s="1"/>
  <c r="D7" i="1"/>
  <c r="D8" i="1"/>
  <c r="D9" i="1"/>
  <c r="D10" i="1"/>
  <c r="D11" i="1"/>
  <c r="D12" i="1"/>
  <c r="D6" i="1"/>
  <c r="E14" i="6" l="1"/>
  <c r="D12" i="5"/>
  <c r="D13" i="5" s="1"/>
  <c r="O9" i="1"/>
  <c r="O7" i="1"/>
  <c r="D12" i="4"/>
  <c r="D13" i="4" s="1"/>
  <c r="O11" i="3"/>
  <c r="O7" i="3"/>
  <c r="O9" i="3"/>
  <c r="O8" i="1" l="1"/>
  <c r="J5" i="4" s="1"/>
  <c r="K5" i="4"/>
  <c r="R9" i="1"/>
  <c r="R13" i="1"/>
  <c r="R17" i="1"/>
  <c r="R21" i="1"/>
  <c r="R25" i="1"/>
  <c r="R29" i="1"/>
  <c r="R33" i="1"/>
  <c r="R37" i="1"/>
  <c r="R41" i="1"/>
  <c r="R45" i="1"/>
  <c r="R6" i="1"/>
  <c r="R10" i="1"/>
  <c r="R14" i="1"/>
  <c r="R18" i="1"/>
  <c r="R22" i="1"/>
  <c r="R26" i="1"/>
  <c r="R30" i="1"/>
  <c r="R34" i="1"/>
  <c r="R38" i="1"/>
  <c r="R42" i="1"/>
  <c r="R46" i="1"/>
  <c r="R7" i="1"/>
  <c r="R11" i="1"/>
  <c r="R15" i="1"/>
  <c r="R19" i="1"/>
  <c r="R23" i="1"/>
  <c r="R27" i="1"/>
  <c r="R31" i="1"/>
  <c r="R35" i="1"/>
  <c r="R39" i="1"/>
  <c r="R43" i="1"/>
  <c r="R8" i="1"/>
  <c r="R12" i="1"/>
  <c r="R16" i="1"/>
  <c r="R20" i="1"/>
  <c r="R24" i="1"/>
  <c r="R28" i="1"/>
  <c r="R32" i="1"/>
  <c r="R36" i="1"/>
  <c r="R40" i="1"/>
  <c r="R44" i="1"/>
  <c r="O8" i="3"/>
</calcChain>
</file>

<file path=xl/sharedStrings.xml><?xml version="1.0" encoding="utf-8"?>
<sst xmlns="http://schemas.openxmlformats.org/spreadsheetml/2006/main" count="120" uniqueCount="68">
  <si>
    <t>Tiempo desde ultimo pinchazo [días op]</t>
  </si>
  <si>
    <t>ln(t)</t>
  </si>
  <si>
    <t>#</t>
  </si>
  <si>
    <t>Jerarquía</t>
  </si>
  <si>
    <t>Confiabilidad R</t>
  </si>
  <si>
    <t>ln(-lnR)</t>
  </si>
  <si>
    <t>beta</t>
  </si>
  <si>
    <t>eta</t>
  </si>
  <si>
    <t>intercepto</t>
  </si>
  <si>
    <t>días op</t>
  </si>
  <si>
    <t>Edad</t>
  </si>
  <si>
    <t>Paso 1</t>
  </si>
  <si>
    <t>Estimar F(t) (prob falla)</t>
  </si>
  <si>
    <t>Paso 2</t>
  </si>
  <si>
    <t>Aplicar inversa normal estándar (z)</t>
  </si>
  <si>
    <t>Paso 3</t>
  </si>
  <si>
    <t>Graficar dispersión (ejex = t, ejey = z)</t>
  </si>
  <si>
    <t>Paso 4</t>
  </si>
  <si>
    <t>Ver si parece recta</t>
  </si>
  <si>
    <t>paso 5</t>
  </si>
  <si>
    <t>Ajustar mejor recta con mínimos cuadrados, con la fórmula</t>
  </si>
  <si>
    <t>F(t)</t>
  </si>
  <si>
    <t>z</t>
  </si>
  <si>
    <t>sigma</t>
  </si>
  <si>
    <t>mu</t>
  </si>
  <si>
    <t>sigma^-1</t>
  </si>
  <si>
    <t>-mu/sigma</t>
  </si>
  <si>
    <t>Weibull y normal se parecen si beta es relativamente alto</t>
  </si>
  <si>
    <t>gamma</t>
  </si>
  <si>
    <t>ln(t-gamma)</t>
  </si>
  <si>
    <t>R2</t>
  </si>
  <si>
    <t>gamma positivo: vida garantizada</t>
  </si>
  <si>
    <t>gamma negativo: desgaste previo</t>
  </si>
  <si>
    <t>Elegir una distribución</t>
  </si>
  <si>
    <t>Construir la verosimilitud</t>
  </si>
  <si>
    <t>Optimizar theta</t>
  </si>
  <si>
    <t>Paso 1,5</t>
  </si>
  <si>
    <t>Darse valores iniciales para comenzar</t>
  </si>
  <si>
    <t>Beta</t>
  </si>
  <si>
    <t>Eta</t>
  </si>
  <si>
    <t>f</t>
  </si>
  <si>
    <t>log verosimilitud</t>
  </si>
  <si>
    <t>Maxima Verosimilitud</t>
  </si>
  <si>
    <t>Metodo Gráfico</t>
  </si>
  <si>
    <t>Elegimos gamma</t>
  </si>
  <si>
    <t>Media</t>
  </si>
  <si>
    <t>Varianza</t>
  </si>
  <si>
    <t>Lambda</t>
  </si>
  <si>
    <t>k</t>
  </si>
  <si>
    <t>Muestra</t>
  </si>
  <si>
    <t>Ajuste</t>
  </si>
  <si>
    <t>Error</t>
  </si>
  <si>
    <t>Metodo de los momentos</t>
  </si>
  <si>
    <t>Media =</t>
  </si>
  <si>
    <t>Suma de Errores</t>
  </si>
  <si>
    <t>Máxima Verosimilitud</t>
  </si>
  <si>
    <t>LL</t>
  </si>
  <si>
    <t>AIC</t>
  </si>
  <si>
    <t>mimimizar AIC</t>
  </si>
  <si>
    <t>F</t>
  </si>
  <si>
    <t>Cp</t>
  </si>
  <si>
    <t>um</t>
  </si>
  <si>
    <t>Cc</t>
  </si>
  <si>
    <t>MTBI</t>
  </si>
  <si>
    <t>MTTF</t>
  </si>
  <si>
    <t>cg</t>
  </si>
  <si>
    <t>Minimo</t>
  </si>
  <si>
    <t>obj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</si>
</sst>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000000000000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1" applyFon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0" borderId="0" xfId="0" quotePrefix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9" fontId="0" fillId="2" borderId="1" xfId="1" applyFont="1" applyFill="1" applyBorder="1"/>
    <xf numFmtId="2" fontId="0" fillId="2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2" fillId="3" borderId="1" xfId="0" applyFont="1" applyFill="1" applyBorder="1"/>
    <xf numFmtId="0" fontId="0" fillId="4" borderId="1" xfId="0" applyFill="1" applyBorder="1"/>
    <xf numFmtId="10" fontId="0" fillId="4" borderId="1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0" fillId="0" borderId="0" xfId="0" applyNumberFormat="1"/>
    <xf numFmtId="1" fontId="0" fillId="0" borderId="0" xfId="0" applyNumberFormat="1"/>
    <xf numFmtId="0" fontId="0" fillId="0" borderId="1" xfId="0" applyBorder="1"/>
    <xf numFmtId="16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8" borderId="0" xfId="0" applyFill="1"/>
    <xf numFmtId="0" fontId="0" fillId="6" borderId="0" xfId="0" applyFill="1"/>
    <xf numFmtId="0" fontId="0" fillId="8" borderId="1" xfId="0" applyFill="1" applyBorder="1"/>
    <xf numFmtId="0" fontId="0" fillId="6" borderId="1" xfId="0" applyFill="1" applyBorder="1"/>
    <xf numFmtId="164" fontId="0" fillId="6" borderId="1" xfId="0" applyNumberFormat="1" applyFill="1" applyBorder="1"/>
    <xf numFmtId="167" fontId="0" fillId="6" borderId="1" xfId="1" applyNumberFormat="1" applyFont="1" applyFill="1" applyBorder="1"/>
    <xf numFmtId="1" fontId="0" fillId="6" borderId="1" xfId="0" applyNumberFormat="1" applyFill="1" applyBorder="1"/>
    <xf numFmtId="167" fontId="0" fillId="6" borderId="1" xfId="0" applyNumberFormat="1" applyFill="1" applyBorder="1"/>
    <xf numFmtId="0" fontId="0" fillId="7" borderId="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7" borderId="0" xfId="0" applyFill="1"/>
    <xf numFmtId="0" fontId="3" fillId="0" borderId="0" xfId="0" applyFont="1"/>
    <xf numFmtId="0" fontId="0" fillId="0" borderId="3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Diagrama de Weibull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xVal>
            <c:numRef>
              <c:f>'Weibull 2 param'!$D$6:$D$12</c:f>
              <c:numCache>
                <c:formatCode>0.0</c:formatCode>
                <c:ptCount val="7"/>
                <c:pt idx="0">
                  <c:v>4.0073331852324712</c:v>
                </c:pt>
                <c:pt idx="1">
                  <c:v>3.8712010109078911</c:v>
                </c:pt>
                <c:pt idx="2">
                  <c:v>4.1743872698956368</c:v>
                </c:pt>
                <c:pt idx="3">
                  <c:v>3.6888794541139363</c:v>
                </c:pt>
                <c:pt idx="4">
                  <c:v>4.0775374439057197</c:v>
                </c:pt>
                <c:pt idx="5">
                  <c:v>3.4011973816621555</c:v>
                </c:pt>
                <c:pt idx="6">
                  <c:v>4.3040650932041702</c:v>
                </c:pt>
              </c:numCache>
            </c:numRef>
          </c:xVal>
          <c:yVal>
            <c:numRef>
              <c:f>'Weibull 2 param'!$G$6:$G$12</c:f>
              <c:numCache>
                <c:formatCode>0.0</c:formatCode>
                <c:ptCount val="7"/>
                <c:pt idx="0">
                  <c:v>-0.36651292058166435</c:v>
                </c:pt>
                <c:pt idx="1">
                  <c:v>-0.78983983425403359</c:v>
                </c:pt>
                <c:pt idx="2">
                  <c:v>0.38584165418008665</c:v>
                </c:pt>
                <c:pt idx="3">
                  <c:v>-1.3431819022975191</c:v>
                </c:pt>
                <c:pt idx="4">
                  <c:v>8.1945598938292404E-3</c:v>
                </c:pt>
                <c:pt idx="5">
                  <c:v>-2.3088801270783894</c:v>
                </c:pt>
                <c:pt idx="6">
                  <c:v>0.85787950994316486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ED-4BE0-8D83-FE789FA06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126688"/>
        <c:axId val="739126328"/>
      </c:scatterChart>
      <c:valAx>
        <c:axId val="739126688"/>
        <c:scaling>
          <c:orientation val="minMax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ln(t)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6328"/>
        <c:crosses val="autoZero"/>
        <c:crossBetween val="midCat"/>
      </c:valAx>
      <c:valAx>
        <c:axId val="73912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ln(-lnR)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'Weibull 2 param'!$Q$6:$Q$46</c:f>
              <c:numCache>
                <c:formatCode>General</c:formatCode>
                <c:ptCount val="4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</c:numCache>
            </c:numRef>
          </c:xVal>
          <c:yVal>
            <c:numRef>
              <c:f>'Weibull 2 param'!$R$6:$R$46</c:f>
              <c:numCache>
                <c:formatCode>0%</c:formatCode>
                <c:ptCount val="41"/>
                <c:pt idx="0">
                  <c:v>1</c:v>
                </c:pt>
                <c:pt idx="1">
                  <c:v>0.99996982637655885</c:v>
                </c:pt>
                <c:pt idx="2">
                  <c:v>0.99966006896803739</c:v>
                </c:pt>
                <c:pt idx="3">
                  <c:v>0.99859898848608353</c:v>
                </c:pt>
                <c:pt idx="4">
                  <c:v>0.99617647736993375</c:v>
                </c:pt>
                <c:pt idx="5">
                  <c:v>0.99168051889738607</c:v>
                </c:pt>
                <c:pt idx="6">
                  <c:v>0.98432704264373594</c:v>
                </c:pt>
                <c:pt idx="7">
                  <c:v>0.97329264570445362</c:v>
                </c:pt>
                <c:pt idx="8">
                  <c:v>0.95775390623776047</c:v>
                </c:pt>
                <c:pt idx="9">
                  <c:v>0.93693481547528412</c:v>
                </c:pt>
                <c:pt idx="10">
                  <c:v>0.91016213554270897</c:v>
                </c:pt>
                <c:pt idx="11">
                  <c:v>0.87692670198866851</c:v>
                </c:pt>
                <c:pt idx="12">
                  <c:v>0.83694676432087722</c:v>
                </c:pt>
                <c:pt idx="13">
                  <c:v>0.79022754231334735</c:v>
                </c:pt>
                <c:pt idx="14">
                  <c:v>0.73710956940962569</c:v>
                </c:pt>
                <c:pt idx="15">
                  <c:v>0.67829750326332805</c:v>
                </c:pt>
                <c:pt idx="16">
                  <c:v>0.61486134859329766</c:v>
                </c:pt>
                <c:pt idx="17">
                  <c:v>0.54820382544132773</c:v>
                </c:pt>
                <c:pt idx="18">
                  <c:v>0.47999107946311592</c:v>
                </c:pt>
                <c:pt idx="19">
                  <c:v>0.41204887307187854</c:v>
                </c:pt>
                <c:pt idx="20">
                  <c:v>0.34623218457656146</c:v>
                </c:pt>
                <c:pt idx="21">
                  <c:v>0.28428172822315034</c:v>
                </c:pt>
                <c:pt idx="22">
                  <c:v>0.22768498997241216</c:v>
                </c:pt>
                <c:pt idx="23">
                  <c:v>0.17756070444158911</c:v>
                </c:pt>
                <c:pt idx="24">
                  <c:v>0.13458347234611978</c:v>
                </c:pt>
                <c:pt idx="25">
                  <c:v>9.8959423282721892E-2</c:v>
                </c:pt>
                <c:pt idx="26">
                  <c:v>7.0455417066206505E-2</c:v>
                </c:pt>
                <c:pt idx="27">
                  <c:v>4.8475035506713837E-2</c:v>
                </c:pt>
                <c:pt idx="28">
                  <c:v>3.2166727022329589E-2</c:v>
                </c:pt>
                <c:pt idx="29">
                  <c:v>2.0544859131740978E-2</c:v>
                </c:pt>
                <c:pt idx="30">
                  <c:v>1.2604161468019126E-2</c:v>
                </c:pt>
                <c:pt idx="31">
                  <c:v>7.4119218844111989E-3</c:v>
                </c:pt>
                <c:pt idx="32">
                  <c:v>4.1689846297590094E-3</c:v>
                </c:pt>
                <c:pt idx="33">
                  <c:v>2.2380717145455975E-3</c:v>
                </c:pt>
                <c:pt idx="34">
                  <c:v>1.1442185972054819E-3</c:v>
                </c:pt>
                <c:pt idx="35">
                  <c:v>5.5586327437928684E-4</c:v>
                </c:pt>
                <c:pt idx="36">
                  <c:v>2.560173805037369E-4</c:v>
                </c:pt>
                <c:pt idx="37">
                  <c:v>1.115367444554094E-4</c:v>
                </c:pt>
                <c:pt idx="38">
                  <c:v>4.5856860948823019E-5</c:v>
                </c:pt>
                <c:pt idx="39">
                  <c:v>1.7750302280239438E-5</c:v>
                </c:pt>
                <c:pt idx="40">
                  <c:v>6.4533630346197413E-6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6D-4302-A0D8-CD86436BF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120568"/>
        <c:axId val="739122728"/>
      </c:scatterChart>
      <c:valAx>
        <c:axId val="7391205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Tiempo</a:t>
                </a:r>
                <a:r>
                  <a:rPr lang="es-CL" baseline="0"/>
                  <a:t> desde último pinchazo [días op]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2728"/>
        <c:crosses val="autoZero"/>
        <c:crossBetween val="midCat"/>
      </c:valAx>
      <c:valAx>
        <c:axId val="7391227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Confiabilidad 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Normal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Normal!$Q$6:$Q$46</c:f>
              <c:numCache>
                <c:formatCode>General</c:formatCode>
                <c:ptCount val="4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</c:numCache>
            </c:numRef>
          </c:xVal>
          <c:yVal>
            <c:numRef>
              <c:f>Normal!$R$6:$R$46</c:f>
              <c:numCache>
                <c:formatCode>0.00%</c:formatCode>
                <c:ptCount val="41"/>
                <c:pt idx="0">
                  <c:v>0.99917791307440229</c:v>
                </c:pt>
                <c:pt idx="1">
                  <c:v>0.99850987745148101</c:v>
                </c:pt>
                <c:pt idx="2">
                  <c:v>0.99737744779097981</c:v>
                </c:pt>
                <c:pt idx="3">
                  <c:v>0.99551763235750901</c:v>
                </c:pt>
                <c:pt idx="4">
                  <c:v>0.99255842421986606</c:v>
                </c:pt>
                <c:pt idx="5">
                  <c:v>0.98799670779247994</c:v>
                </c:pt>
                <c:pt idx="6">
                  <c:v>0.98118386743567887</c:v>
                </c:pt>
                <c:pt idx="7">
                  <c:v>0.97132617322369097</c:v>
                </c:pt>
                <c:pt idx="8">
                  <c:v>0.95750739280183528</c:v>
                </c:pt>
                <c:pt idx="9">
                  <c:v>0.93873967896554522</c:v>
                </c:pt>
                <c:pt idx="10">
                  <c:v>0.91404517268019536</c:v>
                </c:pt>
                <c:pt idx="11">
                  <c:v>0.88256503142643306</c:v>
                </c:pt>
                <c:pt idx="12">
                  <c:v>0.84368555796665945</c:v>
                </c:pt>
                <c:pt idx="13">
                  <c:v>0.79716429687490042</c:v>
                </c:pt>
                <c:pt idx="14">
                  <c:v>0.74323434831143498</c:v>
                </c:pt>
                <c:pt idx="15">
                  <c:v>0.68266457155636018</c:v>
                </c:pt>
                <c:pt idx="16">
                  <c:v>0.61675789790149005</c:v>
                </c:pt>
                <c:pt idx="17">
                  <c:v>0.54727942308445421</c:v>
                </c:pt>
                <c:pt idx="18">
                  <c:v>0.47631860256071901</c:v>
                </c:pt>
                <c:pt idx="19">
                  <c:v>0.40610286655164352</c:v>
                </c:pt>
                <c:pt idx="20">
                  <c:v>0.33879005251134875</c:v>
                </c:pt>
                <c:pt idx="21">
                  <c:v>0.27627155869382114</c:v>
                </c:pt>
                <c:pt idx="22">
                  <c:v>0.22001583406356429</c:v>
                </c:pt>
                <c:pt idx="23">
                  <c:v>0.17097335847445549</c:v>
                </c:pt>
                <c:pt idx="24">
                  <c:v>0.12955189158658442</c:v>
                </c:pt>
                <c:pt idx="25">
                  <c:v>9.5657645806128677E-2</c:v>
                </c:pt>
                <c:pt idx="26">
                  <c:v>6.8787262596988752E-2</c:v>
                </c:pt>
                <c:pt idx="27">
                  <c:v>4.8149191450054585E-2</c:v>
                </c:pt>
                <c:pt idx="28">
                  <c:v>3.2792004205645098E-2</c:v>
                </c:pt>
                <c:pt idx="29">
                  <c:v>2.1720629519773493E-2</c:v>
                </c:pt>
                <c:pt idx="30">
                  <c:v>1.3987795730778685E-2</c:v>
                </c:pt>
                <c:pt idx="31">
                  <c:v>8.7551296843332294E-3</c:v>
                </c:pt>
                <c:pt idx="32">
                  <c:v>5.3246525152158553E-3</c:v>
                </c:pt>
                <c:pt idx="33">
                  <c:v>3.1457732224003943E-3</c:v>
                </c:pt>
                <c:pt idx="34">
                  <c:v>1.8049890284939085E-3</c:v>
                </c:pt>
                <c:pt idx="35">
                  <c:v>1.0056489143922542E-3</c:v>
                </c:pt>
                <c:pt idx="36">
                  <c:v>5.4395803765638906E-4</c:v>
                </c:pt>
                <c:pt idx="37">
                  <c:v>2.8560244141551117E-4</c:v>
                </c:pt>
                <c:pt idx="38">
                  <c:v>1.4553690649743434E-4</c:v>
                </c:pt>
                <c:pt idx="39">
                  <c:v>7.1968481777262561E-5</c:v>
                </c:pt>
                <c:pt idx="40">
                  <c:v>3.4531716284647018E-5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5E-476B-8075-83D5CF32AE79}"/>
            </c:ext>
          </c:extLst>
        </c:ser>
        <c:ser>
          <c:idx val="1"/>
          <c:order val="1"/>
          <c:tx>
            <c:v>Weibull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'Weibull 2 param'!$Q$6:$Q$46</c:f>
              <c:numCache>
                <c:formatCode>General</c:formatCode>
                <c:ptCount val="4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</c:numCache>
            </c:numRef>
          </c:xVal>
          <c:yVal>
            <c:numRef>
              <c:f>'Weibull 2 param'!$R$6:$R$46</c:f>
              <c:numCache>
                <c:formatCode>0%</c:formatCode>
                <c:ptCount val="41"/>
                <c:pt idx="0">
                  <c:v>1</c:v>
                </c:pt>
                <c:pt idx="1">
                  <c:v>0.99996982637655885</c:v>
                </c:pt>
                <c:pt idx="2">
                  <c:v>0.99966006896803739</c:v>
                </c:pt>
                <c:pt idx="3">
                  <c:v>0.99859898848608353</c:v>
                </c:pt>
                <c:pt idx="4">
                  <c:v>0.99617647736993375</c:v>
                </c:pt>
                <c:pt idx="5">
                  <c:v>0.99168051889738607</c:v>
                </c:pt>
                <c:pt idx="6">
                  <c:v>0.98432704264373594</c:v>
                </c:pt>
                <c:pt idx="7">
                  <c:v>0.97329264570445362</c:v>
                </c:pt>
                <c:pt idx="8">
                  <c:v>0.95775390623776047</c:v>
                </c:pt>
                <c:pt idx="9">
                  <c:v>0.93693481547528412</c:v>
                </c:pt>
                <c:pt idx="10">
                  <c:v>0.91016213554270897</c:v>
                </c:pt>
                <c:pt idx="11">
                  <c:v>0.87692670198866851</c:v>
                </c:pt>
                <c:pt idx="12">
                  <c:v>0.83694676432087722</c:v>
                </c:pt>
                <c:pt idx="13">
                  <c:v>0.79022754231334735</c:v>
                </c:pt>
                <c:pt idx="14">
                  <c:v>0.73710956940962569</c:v>
                </c:pt>
                <c:pt idx="15">
                  <c:v>0.67829750326332805</c:v>
                </c:pt>
                <c:pt idx="16">
                  <c:v>0.61486134859329766</c:v>
                </c:pt>
                <c:pt idx="17">
                  <c:v>0.54820382544132773</c:v>
                </c:pt>
                <c:pt idx="18">
                  <c:v>0.47999107946311592</c:v>
                </c:pt>
                <c:pt idx="19">
                  <c:v>0.41204887307187854</c:v>
                </c:pt>
                <c:pt idx="20">
                  <c:v>0.34623218457656146</c:v>
                </c:pt>
                <c:pt idx="21">
                  <c:v>0.28428172822315034</c:v>
                </c:pt>
                <c:pt idx="22">
                  <c:v>0.22768498997241216</c:v>
                </c:pt>
                <c:pt idx="23">
                  <c:v>0.17756070444158911</c:v>
                </c:pt>
                <c:pt idx="24">
                  <c:v>0.13458347234611978</c:v>
                </c:pt>
                <c:pt idx="25">
                  <c:v>9.8959423282721892E-2</c:v>
                </c:pt>
                <c:pt idx="26">
                  <c:v>7.0455417066206505E-2</c:v>
                </c:pt>
                <c:pt idx="27">
                  <c:v>4.8475035506713837E-2</c:v>
                </c:pt>
                <c:pt idx="28">
                  <c:v>3.2166727022329589E-2</c:v>
                </c:pt>
                <c:pt idx="29">
                  <c:v>2.0544859131740978E-2</c:v>
                </c:pt>
                <c:pt idx="30">
                  <c:v>1.2604161468019126E-2</c:v>
                </c:pt>
                <c:pt idx="31">
                  <c:v>7.4119218844111989E-3</c:v>
                </c:pt>
                <c:pt idx="32">
                  <c:v>4.1689846297590094E-3</c:v>
                </c:pt>
                <c:pt idx="33">
                  <c:v>2.2380717145455975E-3</c:v>
                </c:pt>
                <c:pt idx="34">
                  <c:v>1.1442185972054819E-3</c:v>
                </c:pt>
                <c:pt idx="35">
                  <c:v>5.5586327437928684E-4</c:v>
                </c:pt>
                <c:pt idx="36">
                  <c:v>2.560173805037369E-4</c:v>
                </c:pt>
                <c:pt idx="37">
                  <c:v>1.115367444554094E-4</c:v>
                </c:pt>
                <c:pt idx="38">
                  <c:v>4.5856860948823019E-5</c:v>
                </c:pt>
                <c:pt idx="39">
                  <c:v>1.7750302280239438E-5</c:v>
                </c:pt>
                <c:pt idx="40">
                  <c:v>6.4533630346197413E-6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5E-476B-8075-83D5CF32A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120568"/>
        <c:axId val="739122728"/>
      </c:scatterChart>
      <c:valAx>
        <c:axId val="7391205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Tiempo</a:t>
                </a:r>
                <a:r>
                  <a:rPr lang="es-CL" baseline="0"/>
                  <a:t> desde último pinchazo [días op]</a:t>
                </a:r>
                <a:endParaRPr lang="es-C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2728"/>
        <c:crosses val="autoZero"/>
        <c:crossBetween val="midCat"/>
      </c:valAx>
      <c:valAx>
        <c:axId val="7391227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Confiabilidad 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0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508902012248468"/>
                  <c:y val="1.34722222222222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xVal>
            <c:numRef>
              <c:f>Normal!$C$6:$C$12</c:f>
              <c:numCache>
                <c:formatCode>General</c:formatCode>
                <c:ptCount val="7"/>
                <c:pt idx="0">
                  <c:v>55</c:v>
                </c:pt>
                <c:pt idx="1">
                  <c:v>48</c:v>
                </c:pt>
                <c:pt idx="2">
                  <c:v>65</c:v>
                </c:pt>
                <c:pt idx="3">
                  <c:v>40</c:v>
                </c:pt>
                <c:pt idx="4">
                  <c:v>59</c:v>
                </c:pt>
                <c:pt idx="5">
                  <c:v>30</c:v>
                </c:pt>
                <c:pt idx="6">
                  <c:v>74</c:v>
                </c:pt>
              </c:numCache>
            </c:numRef>
          </c:xVal>
          <c:yVal>
            <c:numRef>
              <c:f>Normal!$H$6:$H$12</c:f>
              <c:numCache>
                <c:formatCode>0.00</c:formatCode>
                <c:ptCount val="7"/>
                <c:pt idx="0">
                  <c:v>0</c:v>
                </c:pt>
                <c:pt idx="1">
                  <c:v>-0.34548507371979842</c:v>
                </c:pt>
                <c:pt idx="2">
                  <c:v>0.73973721941388981</c:v>
                </c:pt>
                <c:pt idx="3">
                  <c:v>-0.73973721941388981</c:v>
                </c:pt>
                <c:pt idx="4">
                  <c:v>0.34548507371979842</c:v>
                </c:pt>
                <c:pt idx="5">
                  <c:v>-1.3129814789733745</c:v>
                </c:pt>
                <c:pt idx="6">
                  <c:v>1.3129814789733745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02-4DEE-9689-F0E6125A5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3508575"/>
        <c:axId val="1712013247"/>
      </c:scatterChart>
      <c:valAx>
        <c:axId val="1703508575"/>
        <c:scaling>
          <c:orientation val="minMax"/>
          <c:min val="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Tiempo desde ultima falla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12013247"/>
        <c:crosses val="autoZero"/>
        <c:crossBetween val="midCat"/>
      </c:valAx>
      <c:valAx>
        <c:axId val="17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Edad</a:t>
                </a:r>
                <a:r>
                  <a:rPr lang="es-CL" baseline="0"/>
                  <a:t> normalizada</a:t>
                </a:r>
                <a:endParaRPr lang="es-C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3508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Diagrama de Weibull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xVal>
            <c:numRef>
              <c:f>'Weibull 3 param'!$D$6:$D$12</c:f>
              <c:numCache>
                <c:formatCode>0.0</c:formatCode>
                <c:ptCount val="7"/>
                <c:pt idx="0">
                  <c:v>2.2940043593380981</c:v>
                </c:pt>
                <c:pt idx="1">
                  <c:v>1.5922021784096263</c:v>
                </c:pt>
                <c:pt idx="2">
                  <c:v>3.174487468334815</c:v>
                </c:pt>
                <c:pt idx="3">
                  <c:v>-8.9312468659205654E-2</c:v>
                </c:pt>
                <c:pt idx="4">
                  <c:v>2.4777611612874169</c:v>
                </c:pt>
                <c:pt idx="5">
                  <c:v>1.0697187818655074</c:v>
                </c:pt>
                <c:pt idx="6">
                  <c:v>3.4939151057023738</c:v>
                </c:pt>
              </c:numCache>
            </c:numRef>
          </c:xVal>
          <c:yVal>
            <c:numRef>
              <c:f>'Weibull 3 param'!$G$6:$G$12</c:f>
              <c:numCache>
                <c:formatCode>0.0</c:formatCode>
                <c:ptCount val="7"/>
                <c:pt idx="0">
                  <c:v>-0.36651292058166435</c:v>
                </c:pt>
                <c:pt idx="1">
                  <c:v>-0.78983983425403359</c:v>
                </c:pt>
                <c:pt idx="2">
                  <c:v>0.38584165418008665</c:v>
                </c:pt>
                <c:pt idx="3">
                  <c:v>-2.3088801270783894</c:v>
                </c:pt>
                <c:pt idx="4">
                  <c:v>8.1945598938292404E-3</c:v>
                </c:pt>
                <c:pt idx="5">
                  <c:v>-1.3431819022975191</c:v>
                </c:pt>
                <c:pt idx="6">
                  <c:v>0.85787950994316486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61-458E-9843-30C3C1676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126688"/>
        <c:axId val="739126328"/>
      </c:scatterChart>
      <c:valAx>
        <c:axId val="73912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ln(t-gamma)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6328"/>
        <c:crosses val="autoZero"/>
        <c:crossBetween val="midCat"/>
      </c:valAx>
      <c:valAx>
        <c:axId val="73912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ln(-lnR)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'Weibull 3 param'!$Q$6:$Q$46</c:f>
              <c:numCache>
                <c:formatCode>General</c:formatCode>
                <c:ptCount val="4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54</c:v>
                </c:pt>
                <c:pt idx="29">
                  <c:v>55</c:v>
                </c:pt>
                <c:pt idx="30">
                  <c:v>56</c:v>
                </c:pt>
                <c:pt idx="31">
                  <c:v>57</c:v>
                </c:pt>
                <c:pt idx="32">
                  <c:v>58</c:v>
                </c:pt>
                <c:pt idx="33">
                  <c:v>59</c:v>
                </c:pt>
                <c:pt idx="34">
                  <c:v>60</c:v>
                </c:pt>
                <c:pt idx="35">
                  <c:v>61</c:v>
                </c:pt>
                <c:pt idx="36">
                  <c:v>62</c:v>
                </c:pt>
                <c:pt idx="37">
                  <c:v>63</c:v>
                </c:pt>
                <c:pt idx="38">
                  <c:v>64</c:v>
                </c:pt>
                <c:pt idx="39">
                  <c:v>65</c:v>
                </c:pt>
                <c:pt idx="40">
                  <c:v>66</c:v>
                </c:pt>
              </c:numCache>
            </c:numRef>
          </c:xVal>
          <c:yVal>
            <c:numRef>
              <c:f>'Weibull 3 param'!$R$6:$R$46</c:f>
              <c:numCache>
                <c:formatCode>0%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0.9054973118099392</c:v>
                </c:pt>
                <c:pt idx="17">
                  <c:v>0.82892615340452669</c:v>
                </c:pt>
                <c:pt idx="18">
                  <c:v>0.76376844592135651</c:v>
                </c:pt>
                <c:pt idx="19">
                  <c:v>0.70646619495757523</c:v>
                </c:pt>
                <c:pt idx="20">
                  <c:v>0.6552560225697448</c:v>
                </c:pt>
                <c:pt idx="21">
                  <c:v>0.6090381889385903</c:v>
                </c:pt>
                <c:pt idx="22">
                  <c:v>0.56704327930385623</c:v>
                </c:pt>
                <c:pt idx="23">
                  <c:v>0.52869455067962878</c:v>
                </c:pt>
                <c:pt idx="24">
                  <c:v>0.49353952423187719</c:v>
                </c:pt>
                <c:pt idx="25">
                  <c:v>0.46121163777327234</c:v>
                </c:pt>
                <c:pt idx="26">
                  <c:v>0.4314068298645779</c:v>
                </c:pt>
                <c:pt idx="27">
                  <c:v>0.40386829506530408</c:v>
                </c:pt>
                <c:pt idx="28">
                  <c:v>0.37837605153607035</c:v>
                </c:pt>
                <c:pt idx="29">
                  <c:v>0.35473951152223082</c:v>
                </c:pt>
                <c:pt idx="30">
                  <c:v>0.33279201533414637</c:v>
                </c:pt>
                <c:pt idx="31">
                  <c:v>0.31238669978478262</c:v>
                </c:pt>
                <c:pt idx="32">
                  <c:v>0.29339330349968251</c:v>
                </c:pt>
                <c:pt idx="33">
                  <c:v>0.27569564841381267</c:v>
                </c:pt>
                <c:pt idx="34">
                  <c:v>0.25918962107114074</c:v>
                </c:pt>
                <c:pt idx="35">
                  <c:v>0.24378153108496348</c:v>
                </c:pt>
                <c:pt idx="36">
                  <c:v>0.22938675942596576</c:v>
                </c:pt>
                <c:pt idx="37">
                  <c:v>0.21592863302541987</c:v>
                </c:pt>
                <c:pt idx="38">
                  <c:v>0.20333747863200435</c:v>
                </c:pt>
                <c:pt idx="39">
                  <c:v>0.19154982046230018</c:v>
                </c:pt>
                <c:pt idx="40">
                  <c:v>0.18050769452163917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40-45BB-A5C9-877F1E30A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120568"/>
        <c:axId val="739122728"/>
      </c:scatterChart>
      <c:valAx>
        <c:axId val="7391205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Tiempo</a:t>
                </a:r>
                <a:r>
                  <a:rPr lang="es-CL" baseline="0"/>
                  <a:t> desde último pinchazo [días op]</a:t>
                </a:r>
                <a:endParaRPr lang="es-C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2728"/>
        <c:crosses val="autoZero"/>
        <c:crossBetween val="midCat"/>
      </c:valAx>
      <c:valAx>
        <c:axId val="7391227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Confiabilidad 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12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'ML Weibull'!$I$10:$I$50</c:f>
              <c:numCache>
                <c:formatCode>General</c:formatCode>
                <c:ptCount val="4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</c:numCache>
            </c:numRef>
          </c:xVal>
          <c:yVal>
            <c:numRef>
              <c:f>'ML Weibull'!$J$10:$J$50</c:f>
              <c:numCache>
                <c:formatCode>0%</c:formatCode>
                <c:ptCount val="41"/>
                <c:pt idx="0">
                  <c:v>1</c:v>
                </c:pt>
                <c:pt idx="1">
                  <c:v>0.9999980693103997</c:v>
                </c:pt>
                <c:pt idx="2">
                  <c:v>0.9999582331207465</c:v>
                </c:pt>
                <c:pt idx="3">
                  <c:v>0.99974777608450038</c:v>
                </c:pt>
                <c:pt idx="4">
                  <c:v>0.9990968224787159</c:v>
                </c:pt>
                <c:pt idx="5">
                  <c:v>0.99757195448702951</c:v>
                </c:pt>
                <c:pt idx="6">
                  <c:v>0.99455767110983573</c:v>
                </c:pt>
                <c:pt idx="7">
                  <c:v>0.98924659374399559</c:v>
                </c:pt>
                <c:pt idx="8">
                  <c:v>0.98064203485107981</c:v>
                </c:pt>
                <c:pt idx="9">
                  <c:v>0.9675785838013552</c:v>
                </c:pt>
                <c:pt idx="10">
                  <c:v>0.94876781932457432</c:v>
                </c:pt>
                <c:pt idx="11">
                  <c:v>0.92287662312026575</c:v>
                </c:pt>
                <c:pt idx="12">
                  <c:v>0.88864401279310801</c:v>
                </c:pt>
                <c:pt idx="13">
                  <c:v>0.84503794731600101</c:v>
                </c:pt>
                <c:pt idx="14">
                  <c:v>0.7914453657084014</c:v>
                </c:pt>
                <c:pt idx="15">
                  <c:v>0.72787671003454668</c:v>
                </c:pt>
                <c:pt idx="16">
                  <c:v>0.65515175417155058</c:v>
                </c:pt>
                <c:pt idx="17">
                  <c:v>0.57502029915748154</c:v>
                </c:pt>
                <c:pt idx="18">
                  <c:v>0.49016512463362227</c:v>
                </c:pt>
                <c:pt idx="19">
                  <c:v>0.40404263066794321</c:v>
                </c:pt>
                <c:pt idx="20">
                  <c:v>0.32054429814743002</c:v>
                </c:pt>
                <c:pt idx="21">
                  <c:v>0.24350884651874549</c:v>
                </c:pt>
                <c:pt idx="22">
                  <c:v>0.17617024694185512</c:v>
                </c:pt>
                <c:pt idx="23">
                  <c:v>0.1206698765314872</c:v>
                </c:pt>
                <c:pt idx="24">
                  <c:v>7.7767765219306062E-2</c:v>
                </c:pt>
                <c:pt idx="25">
                  <c:v>4.6843143519625929E-2</c:v>
                </c:pt>
                <c:pt idx="26">
                  <c:v>2.6186129575340278E-2</c:v>
                </c:pt>
                <c:pt idx="27">
                  <c:v>1.3484270770650508E-2</c:v>
                </c:pt>
                <c:pt idx="28">
                  <c:v>6.345738462781747E-3</c:v>
                </c:pt>
                <c:pt idx="29">
                  <c:v>2.7065479709525997E-3</c:v>
                </c:pt>
                <c:pt idx="30">
                  <c:v>1.0370939077204433E-3</c:v>
                </c:pt>
                <c:pt idx="31">
                  <c:v>3.5374138572630276E-4</c:v>
                </c:pt>
                <c:pt idx="32">
                  <c:v>1.0637010049885376E-4</c:v>
                </c:pt>
                <c:pt idx="33">
                  <c:v>2.7913908775545337E-5</c:v>
                </c:pt>
                <c:pt idx="34">
                  <c:v>6.3254124771372489E-6</c:v>
                </c:pt>
                <c:pt idx="35">
                  <c:v>1.2241070529439568E-6</c:v>
                </c:pt>
                <c:pt idx="36">
                  <c:v>1.9998636713314255E-7</c:v>
                </c:pt>
                <c:pt idx="37">
                  <c:v>2.7252737178073971E-8</c:v>
                </c:pt>
                <c:pt idx="38">
                  <c:v>3.0592469668633271E-9</c:v>
                </c:pt>
                <c:pt idx="39">
                  <c:v>2.7923163781196081E-10</c:v>
                </c:pt>
                <c:pt idx="40">
                  <c:v>2.044531210998457E-11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AB-4419-8FF6-622272C1F02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'ML Weibull'!$I$10:$I$50</c:f>
              <c:numCache>
                <c:formatCode>General</c:formatCode>
                <c:ptCount val="4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</c:numCache>
            </c:numRef>
          </c:xVal>
          <c:yVal>
            <c:numRef>
              <c:f>'ML Weibull'!$J$10:$J$50</c:f>
              <c:numCache>
                <c:formatCode>0%</c:formatCode>
                <c:ptCount val="41"/>
                <c:pt idx="0">
                  <c:v>1</c:v>
                </c:pt>
                <c:pt idx="1">
                  <c:v>0.9999980693103997</c:v>
                </c:pt>
                <c:pt idx="2">
                  <c:v>0.9999582331207465</c:v>
                </c:pt>
                <c:pt idx="3">
                  <c:v>0.99974777608450038</c:v>
                </c:pt>
                <c:pt idx="4">
                  <c:v>0.9990968224787159</c:v>
                </c:pt>
                <c:pt idx="5">
                  <c:v>0.99757195448702951</c:v>
                </c:pt>
                <c:pt idx="6">
                  <c:v>0.99455767110983573</c:v>
                </c:pt>
                <c:pt idx="7">
                  <c:v>0.98924659374399559</c:v>
                </c:pt>
                <c:pt idx="8">
                  <c:v>0.98064203485107981</c:v>
                </c:pt>
                <c:pt idx="9">
                  <c:v>0.9675785838013552</c:v>
                </c:pt>
                <c:pt idx="10">
                  <c:v>0.94876781932457432</c:v>
                </c:pt>
                <c:pt idx="11">
                  <c:v>0.92287662312026575</c:v>
                </c:pt>
                <c:pt idx="12">
                  <c:v>0.88864401279310801</c:v>
                </c:pt>
                <c:pt idx="13">
                  <c:v>0.84503794731600101</c:v>
                </c:pt>
                <c:pt idx="14">
                  <c:v>0.7914453657084014</c:v>
                </c:pt>
                <c:pt idx="15">
                  <c:v>0.72787671003454668</c:v>
                </c:pt>
                <c:pt idx="16">
                  <c:v>0.65515175417155058</c:v>
                </c:pt>
                <c:pt idx="17">
                  <c:v>0.57502029915748154</c:v>
                </c:pt>
                <c:pt idx="18">
                  <c:v>0.49016512463362227</c:v>
                </c:pt>
                <c:pt idx="19">
                  <c:v>0.40404263066794321</c:v>
                </c:pt>
                <c:pt idx="20">
                  <c:v>0.32054429814743002</c:v>
                </c:pt>
                <c:pt idx="21">
                  <c:v>0.24350884651874549</c:v>
                </c:pt>
                <c:pt idx="22">
                  <c:v>0.17617024694185512</c:v>
                </c:pt>
                <c:pt idx="23">
                  <c:v>0.1206698765314872</c:v>
                </c:pt>
                <c:pt idx="24">
                  <c:v>7.7767765219306062E-2</c:v>
                </c:pt>
                <c:pt idx="25">
                  <c:v>4.6843143519625929E-2</c:v>
                </c:pt>
                <c:pt idx="26">
                  <c:v>2.6186129575340278E-2</c:v>
                </c:pt>
                <c:pt idx="27">
                  <c:v>1.3484270770650508E-2</c:v>
                </c:pt>
                <c:pt idx="28">
                  <c:v>6.345738462781747E-3</c:v>
                </c:pt>
                <c:pt idx="29">
                  <c:v>2.7065479709525997E-3</c:v>
                </c:pt>
                <c:pt idx="30">
                  <c:v>1.0370939077204433E-3</c:v>
                </c:pt>
                <c:pt idx="31">
                  <c:v>3.5374138572630276E-4</c:v>
                </c:pt>
                <c:pt idx="32">
                  <c:v>1.0637010049885376E-4</c:v>
                </c:pt>
                <c:pt idx="33">
                  <c:v>2.7913908775545337E-5</c:v>
                </c:pt>
                <c:pt idx="34">
                  <c:v>6.3254124771372489E-6</c:v>
                </c:pt>
                <c:pt idx="35">
                  <c:v>1.2241070529439568E-6</c:v>
                </c:pt>
                <c:pt idx="36">
                  <c:v>1.9998636713314255E-7</c:v>
                </c:pt>
                <c:pt idx="37">
                  <c:v>2.7252737178073971E-8</c:v>
                </c:pt>
                <c:pt idx="38">
                  <c:v>3.0592469668633271E-9</c:v>
                </c:pt>
                <c:pt idx="39">
                  <c:v>2.7923163781196081E-10</c:v>
                </c:pt>
                <c:pt idx="40">
                  <c:v>2.044531210998457E-11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AB-4419-8FF6-622272C1F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562176"/>
        <c:axId val="651757328"/>
      </c:scatterChart>
      <c:valAx>
        <c:axId val="563562176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Edad</a:t>
                </a:r>
                <a:r>
                  <a:rPr lang="es-CL" baseline="0"/>
                  <a:t> [dias op]</a:t>
                </a:r>
                <a:endParaRPr lang="es-C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1757328"/>
        <c:crosses val="autoZero"/>
        <c:crossBetween val="midCat"/>
      </c:valAx>
      <c:valAx>
        <c:axId val="6517573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63562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'ML Gamma'!$I$10:$I$50</c:f>
              <c:numCache>
                <c:formatCode>General</c:formatCode>
                <c:ptCount val="4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</c:numCache>
            </c:numRef>
          </c:xVal>
          <c:yVal>
            <c:numRef>
              <c:f>'ML Gamma'!$J$10:$J$50</c:f>
              <c:numCache>
                <c:formatCode>0%</c:formatCode>
                <c:ptCount val="41"/>
                <c:pt idx="0">
                  <c:v>1</c:v>
                </c:pt>
                <c:pt idx="1">
                  <c:v>0.9999999999990814</c:v>
                </c:pt>
                <c:pt idx="2">
                  <c:v>0.99999999552307983</c:v>
                </c:pt>
                <c:pt idx="3">
                  <c:v>0.99999951644928753</c:v>
                </c:pt>
                <c:pt idx="4">
                  <c:v>0.99998899985787448</c:v>
                </c:pt>
                <c:pt idx="5">
                  <c:v>0.99989324447064287</c:v>
                </c:pt>
                <c:pt idx="6">
                  <c:v>0.99939460462488994</c:v>
                </c:pt>
                <c:pt idx="7">
                  <c:v>0.9976270003958293</c:v>
                </c:pt>
                <c:pt idx="8">
                  <c:v>0.9928913573739433</c:v>
                </c:pt>
                <c:pt idx="9">
                  <c:v>0.98263335375862626</c:v>
                </c:pt>
                <c:pt idx="10">
                  <c:v>0.96382398213988452</c:v>
                </c:pt>
                <c:pt idx="11">
                  <c:v>0.93366139412490967</c:v>
                </c:pt>
                <c:pt idx="12">
                  <c:v>0.89033582527068456</c:v>
                </c:pt>
                <c:pt idx="13">
                  <c:v>0.83357387637023406</c:v>
                </c:pt>
                <c:pt idx="14">
                  <c:v>0.76479045737213902</c:v>
                </c:pt>
                <c:pt idx="15">
                  <c:v>0.68684019614178049</c:v>
                </c:pt>
                <c:pt idx="16">
                  <c:v>0.60349007375662023</c:v>
                </c:pt>
                <c:pt idx="17">
                  <c:v>0.51879000105323037</c:v>
                </c:pt>
                <c:pt idx="18">
                  <c:v>0.43650202447991782</c:v>
                </c:pt>
                <c:pt idx="19">
                  <c:v>0.35969114858491802</c:v>
                </c:pt>
                <c:pt idx="20">
                  <c:v>0.2905139391074707</c:v>
                </c:pt>
                <c:pt idx="21">
                  <c:v>0.23018769879213852</c:v>
                </c:pt>
                <c:pt idx="22">
                  <c:v>0.17909236679923968</c:v>
                </c:pt>
                <c:pt idx="23">
                  <c:v>0.13694829949464216</c:v>
                </c:pt>
                <c:pt idx="24">
                  <c:v>0.10301928326971876</c:v>
                </c:pt>
                <c:pt idx="25">
                  <c:v>7.6303950751148375E-2</c:v>
                </c:pt>
                <c:pt idx="26">
                  <c:v>5.5694108896085393E-2</c:v>
                </c:pt>
                <c:pt idx="27">
                  <c:v>4.0091574606805458E-2</c:v>
                </c:pt>
                <c:pt idx="28">
                  <c:v>2.8484356113275822E-2</c:v>
                </c:pt>
                <c:pt idx="29">
                  <c:v>1.998834576850661E-2</c:v>
                </c:pt>
                <c:pt idx="30">
                  <c:v>1.3862850391270332E-2</c:v>
                </c:pt>
                <c:pt idx="31">
                  <c:v>9.5082960747060463E-3</c:v>
                </c:pt>
                <c:pt idx="32">
                  <c:v>6.4532532443717372E-3</c:v>
                </c:pt>
                <c:pt idx="33">
                  <c:v>4.336258302170215E-3</c:v>
                </c:pt>
                <c:pt idx="34">
                  <c:v>2.8862295631628676E-3</c:v>
                </c:pt>
                <c:pt idx="35">
                  <c:v>1.9038386267888896E-3</c:v>
                </c:pt>
                <c:pt idx="36">
                  <c:v>1.2450982153295875E-3</c:v>
                </c:pt>
                <c:pt idx="37">
                  <c:v>8.0766155125555628E-4</c:v>
                </c:pt>
                <c:pt idx="38">
                  <c:v>5.1984516522041169E-4</c:v>
                </c:pt>
                <c:pt idx="39">
                  <c:v>3.3211855908477084E-4</c:v>
                </c:pt>
                <c:pt idx="40">
                  <c:v>2.1068451565275925E-4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1F-4DE4-B20A-641626F1215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'ML Gamma'!$I$10:$I$50</c:f>
              <c:numCache>
                <c:formatCode>General</c:formatCode>
                <c:ptCount val="4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</c:numCache>
            </c:numRef>
          </c:xVal>
          <c:yVal>
            <c:numRef>
              <c:f>'ML Gamma'!$J$10:$J$50</c:f>
              <c:numCache>
                <c:formatCode>0%</c:formatCode>
                <c:ptCount val="41"/>
                <c:pt idx="0">
                  <c:v>1</c:v>
                </c:pt>
                <c:pt idx="1">
                  <c:v>0.9999999999990814</c:v>
                </c:pt>
                <c:pt idx="2">
                  <c:v>0.99999999552307983</c:v>
                </c:pt>
                <c:pt idx="3">
                  <c:v>0.99999951644928753</c:v>
                </c:pt>
                <c:pt idx="4">
                  <c:v>0.99998899985787448</c:v>
                </c:pt>
                <c:pt idx="5">
                  <c:v>0.99989324447064287</c:v>
                </c:pt>
                <c:pt idx="6">
                  <c:v>0.99939460462488994</c:v>
                </c:pt>
                <c:pt idx="7">
                  <c:v>0.9976270003958293</c:v>
                </c:pt>
                <c:pt idx="8">
                  <c:v>0.9928913573739433</c:v>
                </c:pt>
                <c:pt idx="9">
                  <c:v>0.98263335375862626</c:v>
                </c:pt>
                <c:pt idx="10">
                  <c:v>0.96382398213988452</c:v>
                </c:pt>
                <c:pt idx="11">
                  <c:v>0.93366139412490967</c:v>
                </c:pt>
                <c:pt idx="12">
                  <c:v>0.89033582527068456</c:v>
                </c:pt>
                <c:pt idx="13">
                  <c:v>0.83357387637023406</c:v>
                </c:pt>
                <c:pt idx="14">
                  <c:v>0.76479045737213902</c:v>
                </c:pt>
                <c:pt idx="15">
                  <c:v>0.68684019614178049</c:v>
                </c:pt>
                <c:pt idx="16">
                  <c:v>0.60349007375662023</c:v>
                </c:pt>
                <c:pt idx="17">
                  <c:v>0.51879000105323037</c:v>
                </c:pt>
                <c:pt idx="18">
                  <c:v>0.43650202447991782</c:v>
                </c:pt>
                <c:pt idx="19">
                  <c:v>0.35969114858491802</c:v>
                </c:pt>
                <c:pt idx="20">
                  <c:v>0.2905139391074707</c:v>
                </c:pt>
                <c:pt idx="21">
                  <c:v>0.23018769879213852</c:v>
                </c:pt>
                <c:pt idx="22">
                  <c:v>0.17909236679923968</c:v>
                </c:pt>
                <c:pt idx="23">
                  <c:v>0.13694829949464216</c:v>
                </c:pt>
                <c:pt idx="24">
                  <c:v>0.10301928326971876</c:v>
                </c:pt>
                <c:pt idx="25">
                  <c:v>7.6303950751148375E-2</c:v>
                </c:pt>
                <c:pt idx="26">
                  <c:v>5.5694108896085393E-2</c:v>
                </c:pt>
                <c:pt idx="27">
                  <c:v>4.0091574606805458E-2</c:v>
                </c:pt>
                <c:pt idx="28">
                  <c:v>2.8484356113275822E-2</c:v>
                </c:pt>
                <c:pt idx="29">
                  <c:v>1.998834576850661E-2</c:v>
                </c:pt>
                <c:pt idx="30">
                  <c:v>1.3862850391270332E-2</c:v>
                </c:pt>
                <c:pt idx="31">
                  <c:v>9.5082960747060463E-3</c:v>
                </c:pt>
                <c:pt idx="32">
                  <c:v>6.4532532443717372E-3</c:v>
                </c:pt>
                <c:pt idx="33">
                  <c:v>4.336258302170215E-3</c:v>
                </c:pt>
                <c:pt idx="34">
                  <c:v>2.8862295631628676E-3</c:v>
                </c:pt>
                <c:pt idx="35">
                  <c:v>1.9038386267888896E-3</c:v>
                </c:pt>
                <c:pt idx="36">
                  <c:v>1.2450982153295875E-3</c:v>
                </c:pt>
                <c:pt idx="37">
                  <c:v>8.0766155125555628E-4</c:v>
                </c:pt>
                <c:pt idx="38">
                  <c:v>5.1984516522041169E-4</c:v>
                </c:pt>
                <c:pt idx="39">
                  <c:v>3.3211855908477084E-4</c:v>
                </c:pt>
                <c:pt idx="40">
                  <c:v>2.1068451565275925E-4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1F-4DE4-B20A-641626F1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562176"/>
        <c:axId val="651757328"/>
      </c:scatterChart>
      <c:valAx>
        <c:axId val="563562176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Edad</a:t>
                </a:r>
                <a:r>
                  <a:rPr lang="es-CL" baseline="0"/>
                  <a:t> [dias op]</a:t>
                </a:r>
                <a:endParaRPr lang="es-C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1757328"/>
        <c:crosses val="autoZero"/>
        <c:crossBetween val="midCat"/>
      </c:valAx>
      <c:valAx>
        <c:axId val="6517573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63562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609600</xdr:colOff>
      <xdr:row>2</xdr:row>
      <xdr:rowOff>95010</xdr:rowOff>
    </xdr:from>
    <xdr:to>
      <xdr:col>12</xdr:col>
      <xdr:colOff>238125</xdr:colOff>
      <xdr:row>12</xdr:row>
      <xdr:rowOff>19529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4BDC04-354E-2BA0-BF2D-7F3C47CD5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476010"/>
          <a:ext cx="2676525" cy="2020019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12</xdr:row>
      <xdr:rowOff>90487</xdr:rowOff>
    </xdr:from>
    <xdr:to>
      <xdr:col>9</xdr:col>
      <xdr:colOff>209550</xdr:colOff>
      <xdr:row>27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5F9610-2EDE-797E-C3A8-76AE7D4AC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28575</xdr:colOff>
      <xdr:row>4</xdr:row>
      <xdr:rowOff>147637</xdr:rowOff>
    </xdr:from>
    <xdr:to>
      <xdr:col>27</xdr:col>
      <xdr:colOff>271462</xdr:colOff>
      <xdr:row>22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E369E8F-BBB9-38B9-8105-C06C1DEA6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615315</xdr:colOff>
      <xdr:row>29</xdr:row>
      <xdr:rowOff>10477</xdr:rowOff>
    </xdr:from>
    <xdr:to>
      <xdr:col>15</xdr:col>
      <xdr:colOff>65722</xdr:colOff>
      <xdr:row>47</xdr:row>
      <xdr:rowOff>150495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79107F-184A-4656-BAEE-8F1F75839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403860</xdr:colOff>
      <xdr:row>4</xdr:row>
      <xdr:rowOff>152401</xdr:rowOff>
    </xdr:from>
    <xdr:to>
      <xdr:col>15</xdr:col>
      <xdr:colOff>318601</xdr:colOff>
      <xdr:row>12</xdr:row>
      <xdr:rowOff>38101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9C0CFD-D54F-5021-8E9C-3144F1CF8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98380" y="883921"/>
          <a:ext cx="3084661" cy="1531620"/>
        </a:xfrm>
        <a:prstGeom prst="rect">
          <a:avLst/>
        </a:prstGeom>
      </xdr:spPr>
    </xdr:pic>
    <xdr:clientData/>
  </xdr:twoCellAnchor>
  <xdr:twoCellAnchor>
    <xdr:from>
      <xdr:col>6</xdr:col>
      <xdr:colOff>350520</xdr:colOff>
      <xdr:row>13</xdr:row>
      <xdr:rowOff>156210</xdr:rowOff>
    </xdr:from>
    <xdr:to>
      <xdr:col>12</xdr:col>
      <xdr:colOff>167640</xdr:colOff>
      <xdr:row>28</xdr:row>
      <xdr:rowOff>156210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8218F6-1690-D1EE-9426-F7AAA9B91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119062</xdr:rowOff>
    </xdr:from>
    <xdr:to>
      <xdr:col>9</xdr:col>
      <xdr:colOff>200025</xdr:colOff>
      <xdr:row>27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5ED956-7B9D-4481-B1BD-51131537E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958215</xdr:colOff>
      <xdr:row>29</xdr:row>
      <xdr:rowOff>140017</xdr:rowOff>
    </xdr:from>
    <xdr:to>
      <xdr:col>14</xdr:col>
      <xdr:colOff>210502</xdr:colOff>
      <xdr:row>48</xdr:row>
      <xdr:rowOff>97155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C6B9FF1-6951-4CE4-9C8E-FDF2FB2F3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135255</xdr:colOff>
      <xdr:row>3</xdr:row>
      <xdr:rowOff>99061</xdr:rowOff>
    </xdr:from>
    <xdr:to>
      <xdr:col>12</xdr:col>
      <xdr:colOff>737235</xdr:colOff>
      <xdr:row>12</xdr:row>
      <xdr:rowOff>86368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066F23-78F7-DC6F-E985-8E1AA764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4305" y="670561"/>
          <a:ext cx="2887980" cy="1892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16</xdr:row>
      <xdr:rowOff>9525</xdr:rowOff>
    </xdr:from>
    <xdr:to>
      <xdr:col>6</xdr:col>
      <xdr:colOff>324286</xdr:colOff>
      <xdr:row>21</xdr:row>
      <xdr:rowOff>114448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966D69-383C-1D77-CC29-4C8ECD1E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3057525"/>
          <a:ext cx="3124636" cy="1057423"/>
        </a:xfrm>
        <a:prstGeom prst="rect">
          <a:avLst/>
        </a:prstGeom>
      </xdr:spPr>
    </xdr:pic>
    <xdr:clientData/>
  </xdr:twoCellAnchor>
  <xdr:twoCellAnchor>
    <xdr:from>
      <xdr:col>14</xdr:col>
      <xdr:colOff>600074</xdr:colOff>
      <xdr:row>2</xdr:row>
      <xdr:rowOff>328611</xdr:rowOff>
    </xdr:from>
    <xdr:to>
      <xdr:col>21</xdr:col>
      <xdr:colOff>647699</xdr:colOff>
      <xdr:row>19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80AAF0-31F0-3FE4-A454-D14FDF124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16</xdr:row>
      <xdr:rowOff>9525</xdr:rowOff>
    </xdr:from>
    <xdr:to>
      <xdr:col>6</xdr:col>
      <xdr:colOff>324286</xdr:colOff>
      <xdr:row>21</xdr:row>
      <xdr:rowOff>114448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E410F-DBC5-4AE0-A5AD-F7DBE6C52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4300" y="3248025"/>
          <a:ext cx="3124636" cy="1057423"/>
        </a:xfrm>
        <a:prstGeom prst="rect">
          <a:avLst/>
        </a:prstGeom>
      </xdr:spPr>
    </xdr:pic>
    <xdr:clientData/>
  </xdr:twoCellAnchor>
  <xdr:twoCellAnchor>
    <xdr:from>
      <xdr:col>11</xdr:col>
      <xdr:colOff>342899</xdr:colOff>
      <xdr:row>2</xdr:row>
      <xdr:rowOff>271461</xdr:rowOff>
    </xdr:from>
    <xdr:to>
      <xdr:col>18</xdr:col>
      <xdr:colOff>390524</xdr:colOff>
      <xdr:row>19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EB7A8E-D8D5-4A92-98B4-CE7A7F667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704849</xdr:colOff>
      <xdr:row>5</xdr:row>
      <xdr:rowOff>95250</xdr:rowOff>
    </xdr:from>
    <xdr:to>
      <xdr:col>12</xdr:col>
      <xdr:colOff>56090</xdr:colOff>
      <xdr:row>8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31734B-52CC-7551-4DCE-470AFB490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1974" y="1238250"/>
          <a:ext cx="1637241" cy="48577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7</xdr:row>
      <xdr:rowOff>171450</xdr:rowOff>
    </xdr:from>
    <xdr:to>
      <xdr:col>14</xdr:col>
      <xdr:colOff>590876</xdr:colOff>
      <xdr:row>12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61651A-6CED-D465-6CF8-CED2A088B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1695450"/>
          <a:ext cx="438182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46"/>
  <sheetViews>
    <sheetView topLeftCell="A5" workbookViewId="0">
      <selection activeCell="L21" sqref="L21"/>
    </sheetView>
  </sheetViews>
  <sheetFormatPr baseColWidth="10" defaultRowHeight="15" x14ac:dyDescent="0.25"/>
  <cols>
    <col min="1" max="1" width="10.7109375" customWidth="1"/>
    <col min="3" max="3" width="20.85546875" customWidth="1"/>
    <col min="6" max="6" width="14.42578125" bestFit="1" customWidth="1"/>
    <col min="18" max="18" width="14.42578125" bestFit="1" customWidth="1"/>
  </cols>
  <sheetData>
    <row r="5" spans="2:18" ht="30" x14ac:dyDescent="0.25">
      <c r="B5" s="3" t="s">
        <v>2</v>
      </c>
      <c r="C5" s="5" t="s">
        <v>0</v>
      </c>
      <c r="D5" s="3" t="s">
        <v>1</v>
      </c>
      <c r="E5" s="3" t="s">
        <v>3</v>
      </c>
      <c r="F5" s="3" t="s">
        <v>4</v>
      </c>
      <c r="G5" s="3" t="s">
        <v>5</v>
      </c>
      <c r="Q5" t="s">
        <v>10</v>
      </c>
      <c r="R5" t="s">
        <v>4</v>
      </c>
    </row>
    <row r="6" spans="2:18" x14ac:dyDescent="0.25">
      <c r="B6">
        <v>1</v>
      </c>
      <c r="C6" s="1">
        <v>55</v>
      </c>
      <c r="D6" s="2">
        <f>LN(C6)</f>
        <v>4.0073331852324712</v>
      </c>
      <c r="E6">
        <f>_xlfn.RANK.EQ(C6,$C$6:$C$12,1)</f>
        <v>4</v>
      </c>
      <c r="F6" s="4">
        <f>1-(E6-0.3)/($B$12+0.4)</f>
        <v>0.5</v>
      </c>
      <c r="G6" s="2">
        <f>LN(-LN(F6))</f>
        <v>-0.36651292058166435</v>
      </c>
      <c r="Q6">
        <v>0</v>
      </c>
      <c r="R6" s="4">
        <f>1-_xlfn.WEIBULL.DIST(Q6,$O$7,$O$8,1)</f>
        <v>1</v>
      </c>
    </row>
    <row r="7" spans="2:18" x14ac:dyDescent="0.25">
      <c r="B7">
        <v>2</v>
      </c>
      <c r="C7" s="1">
        <v>48</v>
      </c>
      <c r="D7" s="2">
        <f t="shared" ref="D7:D12" si="0">LN(C7)</f>
        <v>3.8712010109078911</v>
      </c>
      <c r="E7">
        <f t="shared" ref="E7:E12" si="1">_xlfn.RANK.EQ(C7,$C$6:$C$12,1)</f>
        <v>3</v>
      </c>
      <c r="F7" s="4">
        <f t="shared" ref="F7:F12" si="2">1-(E7-0.3)/($B$12+0.4)</f>
        <v>0.63513513513513509</v>
      </c>
      <c r="G7" s="2">
        <f t="shared" ref="G7:G12" si="3">LN(-LN(F7))</f>
        <v>-0.78983983425403359</v>
      </c>
      <c r="N7" t="s">
        <v>6</v>
      </c>
      <c r="O7" s="2">
        <f>SLOPE(G6:G12,D6:D12)</f>
        <v>3.4941056872547844</v>
      </c>
      <c r="Q7">
        <v>3</v>
      </c>
      <c r="R7" s="4">
        <f t="shared" ref="R7:R46" si="4">1-_xlfn.WEIBULL.DIST(Q7,$O$7,$O$8,1)</f>
        <v>0.99996982637655885</v>
      </c>
    </row>
    <row r="8" spans="2:18" x14ac:dyDescent="0.25">
      <c r="B8">
        <v>3</v>
      </c>
      <c r="C8" s="1">
        <v>65</v>
      </c>
      <c r="D8" s="2">
        <f t="shared" si="0"/>
        <v>4.1743872698956368</v>
      </c>
      <c r="E8">
        <f t="shared" si="1"/>
        <v>6</v>
      </c>
      <c r="F8" s="4">
        <f t="shared" si="2"/>
        <v>0.22972972972972971</v>
      </c>
      <c r="G8" s="2">
        <f t="shared" si="3"/>
        <v>0.38584165418008665</v>
      </c>
      <c r="N8" t="s">
        <v>7</v>
      </c>
      <c r="O8" s="2">
        <f>EXP(-O9/O7)</f>
        <v>58.997433403505354</v>
      </c>
      <c r="P8" t="s">
        <v>9</v>
      </c>
      <c r="Q8">
        <v>6</v>
      </c>
      <c r="R8" s="4">
        <f t="shared" si="4"/>
        <v>0.99966006896803739</v>
      </c>
    </row>
    <row r="9" spans="2:18" x14ac:dyDescent="0.25">
      <c r="B9">
        <v>4</v>
      </c>
      <c r="C9" s="1">
        <v>40</v>
      </c>
      <c r="D9" s="2">
        <f t="shared" si="0"/>
        <v>3.6888794541139363</v>
      </c>
      <c r="E9">
        <f t="shared" si="1"/>
        <v>2</v>
      </c>
      <c r="F9" s="4">
        <f t="shared" si="2"/>
        <v>0.77027027027027029</v>
      </c>
      <c r="G9" s="2">
        <f t="shared" si="3"/>
        <v>-1.3431819022975191</v>
      </c>
      <c r="N9" t="s">
        <v>8</v>
      </c>
      <c r="O9" s="2">
        <f>INTERCEPT(G6:G12,D6:D12)</f>
        <v>-14.247194770127091</v>
      </c>
      <c r="Q9">
        <v>9</v>
      </c>
      <c r="R9" s="4">
        <f t="shared" si="4"/>
        <v>0.99859898848608353</v>
      </c>
    </row>
    <row r="10" spans="2:18" x14ac:dyDescent="0.25">
      <c r="B10">
        <v>5</v>
      </c>
      <c r="C10" s="1">
        <v>59</v>
      </c>
      <c r="D10" s="2">
        <f t="shared" si="0"/>
        <v>4.0775374439057197</v>
      </c>
      <c r="E10">
        <f t="shared" si="1"/>
        <v>5</v>
      </c>
      <c r="F10" s="4">
        <f t="shared" si="2"/>
        <v>0.36486486486486491</v>
      </c>
      <c r="G10" s="2">
        <f t="shared" si="3"/>
        <v>8.1945598938292404E-3</v>
      </c>
      <c r="Q10">
        <v>12</v>
      </c>
      <c r="R10" s="4">
        <f t="shared" si="4"/>
        <v>0.99617647736993375</v>
      </c>
    </row>
    <row r="11" spans="2:18" x14ac:dyDescent="0.25">
      <c r="B11">
        <v>6</v>
      </c>
      <c r="C11" s="1">
        <v>30</v>
      </c>
      <c r="D11" s="2">
        <f t="shared" si="0"/>
        <v>3.4011973816621555</v>
      </c>
      <c r="E11">
        <f t="shared" si="1"/>
        <v>1</v>
      </c>
      <c r="F11" s="4">
        <f t="shared" si="2"/>
        <v>0.90540540540540537</v>
      </c>
      <c r="G11" s="2">
        <f t="shared" si="3"/>
        <v>-2.3088801270783894</v>
      </c>
      <c r="Q11">
        <v>15</v>
      </c>
      <c r="R11" s="4">
        <f t="shared" si="4"/>
        <v>0.99168051889738607</v>
      </c>
    </row>
    <row r="12" spans="2:18" x14ac:dyDescent="0.25">
      <c r="B12">
        <v>7</v>
      </c>
      <c r="C12" s="1">
        <v>74</v>
      </c>
      <c r="D12" s="2">
        <f t="shared" si="0"/>
        <v>4.3040650932041702</v>
      </c>
      <c r="E12">
        <f t="shared" si="1"/>
        <v>7</v>
      </c>
      <c r="F12" s="4">
        <f t="shared" si="2"/>
        <v>9.4594594594594628E-2</v>
      </c>
      <c r="G12" s="2">
        <f t="shared" si="3"/>
        <v>0.85787950994316486</v>
      </c>
      <c r="Q12">
        <v>18</v>
      </c>
      <c r="R12" s="4">
        <f t="shared" si="4"/>
        <v>0.98432704264373594</v>
      </c>
    </row>
    <row r="13" spans="2:18" x14ac:dyDescent="0.25">
      <c r="Q13">
        <v>21</v>
      </c>
      <c r="R13" s="4">
        <f t="shared" si="4"/>
        <v>0.97329264570445362</v>
      </c>
    </row>
    <row r="14" spans="2:18" x14ac:dyDescent="0.25">
      <c r="Q14">
        <v>24</v>
      </c>
      <c r="R14" s="4">
        <f t="shared" si="4"/>
        <v>0.95775390623776047</v>
      </c>
    </row>
    <row r="15" spans="2:18" x14ac:dyDescent="0.25">
      <c r="Q15">
        <v>27</v>
      </c>
      <c r="R15" s="4">
        <f t="shared" si="4"/>
        <v>0.93693481547528412</v>
      </c>
    </row>
    <row r="16" spans="2:18" x14ac:dyDescent="0.25">
      <c r="Q16">
        <v>30</v>
      </c>
      <c r="R16" s="4">
        <f t="shared" si="4"/>
        <v>0.91016213554270897</v>
      </c>
    </row>
    <row r="17" spans="17:18" x14ac:dyDescent="0.25">
      <c r="Q17">
        <v>33</v>
      </c>
      <c r="R17" s="4">
        <f t="shared" si="4"/>
        <v>0.87692670198866851</v>
      </c>
    </row>
    <row r="18" spans="17:18" x14ac:dyDescent="0.25">
      <c r="Q18">
        <v>36</v>
      </c>
      <c r="R18" s="4">
        <f t="shared" si="4"/>
        <v>0.83694676432087722</v>
      </c>
    </row>
    <row r="19" spans="17:18" x14ac:dyDescent="0.25">
      <c r="Q19">
        <v>39</v>
      </c>
      <c r="R19" s="4">
        <f t="shared" si="4"/>
        <v>0.79022754231334735</v>
      </c>
    </row>
    <row r="20" spans="17:18" x14ac:dyDescent="0.25">
      <c r="Q20">
        <v>42</v>
      </c>
      <c r="R20" s="4">
        <f t="shared" si="4"/>
        <v>0.73710956940962569</v>
      </c>
    </row>
    <row r="21" spans="17:18" x14ac:dyDescent="0.25">
      <c r="Q21">
        <v>45</v>
      </c>
      <c r="R21" s="4">
        <f t="shared" si="4"/>
        <v>0.67829750326332805</v>
      </c>
    </row>
    <row r="22" spans="17:18" x14ac:dyDescent="0.25">
      <c r="Q22">
        <v>48</v>
      </c>
      <c r="R22" s="4">
        <f t="shared" si="4"/>
        <v>0.61486134859329766</v>
      </c>
    </row>
    <row r="23" spans="17:18" x14ac:dyDescent="0.25">
      <c r="Q23">
        <v>51</v>
      </c>
      <c r="R23" s="4">
        <f t="shared" si="4"/>
        <v>0.54820382544132773</v>
      </c>
    </row>
    <row r="24" spans="17:18" x14ac:dyDescent="0.25">
      <c r="Q24">
        <v>54</v>
      </c>
      <c r="R24" s="4">
        <f t="shared" si="4"/>
        <v>0.47999107946311592</v>
      </c>
    </row>
    <row r="25" spans="17:18" x14ac:dyDescent="0.25">
      <c r="Q25">
        <v>57</v>
      </c>
      <c r="R25" s="4">
        <f t="shared" si="4"/>
        <v>0.41204887307187854</v>
      </c>
    </row>
    <row r="26" spans="17:18" x14ac:dyDescent="0.25">
      <c r="Q26">
        <v>60</v>
      </c>
      <c r="R26" s="4">
        <f t="shared" si="4"/>
        <v>0.34623218457656146</v>
      </c>
    </row>
    <row r="27" spans="17:18" x14ac:dyDescent="0.25">
      <c r="Q27">
        <v>63</v>
      </c>
      <c r="R27" s="4">
        <f t="shared" si="4"/>
        <v>0.28428172822315034</v>
      </c>
    </row>
    <row r="28" spans="17:18" x14ac:dyDescent="0.25">
      <c r="Q28">
        <v>66</v>
      </c>
      <c r="R28" s="4">
        <f t="shared" si="4"/>
        <v>0.22768498997241216</v>
      </c>
    </row>
    <row r="29" spans="17:18" x14ac:dyDescent="0.25">
      <c r="Q29">
        <v>69</v>
      </c>
      <c r="R29" s="4">
        <f t="shared" si="4"/>
        <v>0.17756070444158911</v>
      </c>
    </row>
    <row r="30" spans="17:18" x14ac:dyDescent="0.25">
      <c r="Q30">
        <v>72</v>
      </c>
      <c r="R30" s="4">
        <f t="shared" si="4"/>
        <v>0.13458347234611978</v>
      </c>
    </row>
    <row r="31" spans="17:18" x14ac:dyDescent="0.25">
      <c r="Q31">
        <v>75</v>
      </c>
      <c r="R31" s="4">
        <f t="shared" si="4"/>
        <v>9.8959423282721892E-2</v>
      </c>
    </row>
    <row r="32" spans="17:18" x14ac:dyDescent="0.25">
      <c r="Q32">
        <v>78</v>
      </c>
      <c r="R32" s="4">
        <f t="shared" si="4"/>
        <v>7.0455417066206505E-2</v>
      </c>
    </row>
    <row r="33" spans="17:18" x14ac:dyDescent="0.25">
      <c r="Q33">
        <v>81</v>
      </c>
      <c r="R33" s="4">
        <f t="shared" si="4"/>
        <v>4.8475035506713837E-2</v>
      </c>
    </row>
    <row r="34" spans="17:18" x14ac:dyDescent="0.25">
      <c r="Q34">
        <v>84</v>
      </c>
      <c r="R34" s="4">
        <f t="shared" si="4"/>
        <v>3.2166727022329589E-2</v>
      </c>
    </row>
    <row r="35" spans="17:18" x14ac:dyDescent="0.25">
      <c r="Q35">
        <v>87</v>
      </c>
      <c r="R35" s="4">
        <f t="shared" si="4"/>
        <v>2.0544859131740978E-2</v>
      </c>
    </row>
    <row r="36" spans="17:18" x14ac:dyDescent="0.25">
      <c r="Q36">
        <v>90</v>
      </c>
      <c r="R36" s="4">
        <f t="shared" si="4"/>
        <v>1.2604161468019126E-2</v>
      </c>
    </row>
    <row r="37" spans="17:18" x14ac:dyDescent="0.25">
      <c r="Q37">
        <v>93</v>
      </c>
      <c r="R37" s="4">
        <f t="shared" si="4"/>
        <v>7.4119218844111989E-3</v>
      </c>
    </row>
    <row r="38" spans="17:18" x14ac:dyDescent="0.25">
      <c r="Q38">
        <v>96</v>
      </c>
      <c r="R38" s="4">
        <f t="shared" si="4"/>
        <v>4.1689846297590094E-3</v>
      </c>
    </row>
    <row r="39" spans="17:18" x14ac:dyDescent="0.25">
      <c r="Q39">
        <v>99</v>
      </c>
      <c r="R39" s="4">
        <f t="shared" si="4"/>
        <v>2.2380717145455975E-3</v>
      </c>
    </row>
    <row r="40" spans="17:18" x14ac:dyDescent="0.25">
      <c r="Q40">
        <v>102</v>
      </c>
      <c r="R40" s="4">
        <f t="shared" si="4"/>
        <v>1.1442185972054819E-3</v>
      </c>
    </row>
    <row r="41" spans="17:18" x14ac:dyDescent="0.25">
      <c r="Q41">
        <v>105</v>
      </c>
      <c r="R41" s="4">
        <f t="shared" si="4"/>
        <v>5.5586327437928684E-4</v>
      </c>
    </row>
    <row r="42" spans="17:18" x14ac:dyDescent="0.25">
      <c r="Q42">
        <v>108</v>
      </c>
      <c r="R42" s="4">
        <f t="shared" si="4"/>
        <v>2.560173805037369E-4</v>
      </c>
    </row>
    <row r="43" spans="17:18" x14ac:dyDescent="0.25">
      <c r="Q43">
        <v>111</v>
      </c>
      <c r="R43" s="4">
        <f t="shared" si="4"/>
        <v>1.115367444554094E-4</v>
      </c>
    </row>
    <row r="44" spans="17:18" x14ac:dyDescent="0.25">
      <c r="Q44">
        <v>114</v>
      </c>
      <c r="R44" s="4">
        <f t="shared" si="4"/>
        <v>4.5856860948823019E-5</v>
      </c>
    </row>
    <row r="45" spans="17:18" x14ac:dyDescent="0.25">
      <c r="Q45">
        <v>117</v>
      </c>
      <c r="R45" s="4">
        <f t="shared" si="4"/>
        <v>1.7750302280239438E-5</v>
      </c>
    </row>
    <row r="46" spans="17:18" x14ac:dyDescent="0.25">
      <c r="Q46">
        <v>120</v>
      </c>
      <c r="R46" s="4">
        <f t="shared" si="4"/>
        <v>6.4533630346197413E-6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50"/>
  <sheetViews>
    <sheetView topLeftCell="A4" workbookViewId="0">
      <selection activeCell="N18" sqref="N18"/>
    </sheetView>
  </sheetViews>
  <sheetFormatPr baseColWidth="10" defaultRowHeight="15" x14ac:dyDescent="0.25"/>
  <cols>
    <col min="1" max="1" width="10.7109375" customWidth="1"/>
    <col min="3" max="3" width="20.85546875" customWidth="1"/>
    <col min="6" max="6" width="14.42578125" bestFit="1" customWidth="1"/>
    <col min="18" max="18" width="14.42578125" bestFit="1" customWidth="1"/>
  </cols>
  <sheetData>
    <row r="5" spans="2:18" ht="30" x14ac:dyDescent="0.25">
      <c r="B5" s="18" t="s">
        <v>2</v>
      </c>
      <c r="C5" s="19" t="s">
        <v>0</v>
      </c>
      <c r="D5" s="18" t="s">
        <v>1</v>
      </c>
      <c r="E5" s="18" t="s">
        <v>3</v>
      </c>
      <c r="F5" s="18" t="s">
        <v>4</v>
      </c>
      <c r="G5" s="18" t="s">
        <v>21</v>
      </c>
      <c r="H5" s="18" t="s">
        <v>22</v>
      </c>
      <c r="Q5" s="16" t="s">
        <v>10</v>
      </c>
      <c r="R5" s="16" t="s">
        <v>4</v>
      </c>
    </row>
    <row r="6" spans="2:18" x14ac:dyDescent="0.25">
      <c r="B6" s="8">
        <v>1</v>
      </c>
      <c r="C6" s="9">
        <v>55</v>
      </c>
      <c r="D6" s="10">
        <f>LN(C6)</f>
        <v>4.0073331852324712</v>
      </c>
      <c r="E6" s="8">
        <f>_xlfn.RANK.EQ(C6,$C$6:$C$12,1)</f>
        <v>4</v>
      </c>
      <c r="F6" s="11">
        <f>1-(E6-0.3)/($B$12+0.4)</f>
        <v>0.5</v>
      </c>
      <c r="G6" s="11">
        <f>1-F6</f>
        <v>0.5</v>
      </c>
      <c r="H6" s="12">
        <f>_xlfn.NORM.S.INV(G6)</f>
        <v>0</v>
      </c>
      <c r="Q6" s="16">
        <v>0</v>
      </c>
      <c r="R6" s="17">
        <f>1-_xlfn.NORM.DIST(Q6,$K$11,$K$10,1)</f>
        <v>0.99917791307440229</v>
      </c>
    </row>
    <row r="7" spans="2:18" x14ac:dyDescent="0.25">
      <c r="B7" s="8">
        <v>2</v>
      </c>
      <c r="C7" s="9">
        <v>48</v>
      </c>
      <c r="D7" s="10">
        <f t="shared" ref="D7:D12" si="0">LN(C7)</f>
        <v>3.8712010109078911</v>
      </c>
      <c r="E7" s="8">
        <f t="shared" ref="E7:E12" si="1">_xlfn.RANK.EQ(C7,$C$6:$C$12,1)</f>
        <v>3</v>
      </c>
      <c r="F7" s="11">
        <f t="shared" ref="F7:F12" si="2">1-(E7-0.3)/($B$12+0.4)</f>
        <v>0.63513513513513509</v>
      </c>
      <c r="G7" s="11">
        <f t="shared" ref="G7:G12" si="3">1-F7</f>
        <v>0.36486486486486491</v>
      </c>
      <c r="H7" s="12">
        <f t="shared" ref="H7:H12" si="4">_xlfn.NORM.S.INV(G7)</f>
        <v>-0.34548507371979842</v>
      </c>
      <c r="J7" t="s">
        <v>25</v>
      </c>
      <c r="K7" s="6">
        <f>+SLOPE(H6:H12,C6:C12)</f>
        <v>5.9395364518615365E-2</v>
      </c>
      <c r="O7" s="2"/>
      <c r="Q7" s="16">
        <v>3</v>
      </c>
      <c r="R7" s="17">
        <f t="shared" ref="R7:R46" si="5">1-_xlfn.NORM.DIST(Q7,$K$11,$K$10,1)</f>
        <v>0.99850987745148101</v>
      </c>
    </row>
    <row r="8" spans="2:18" x14ac:dyDescent="0.25">
      <c r="B8" s="8">
        <v>3</v>
      </c>
      <c r="C8" s="9">
        <v>65</v>
      </c>
      <c r="D8" s="10">
        <f t="shared" si="0"/>
        <v>4.1743872698956368</v>
      </c>
      <c r="E8" s="8">
        <f t="shared" si="1"/>
        <v>6</v>
      </c>
      <c r="F8" s="11">
        <f t="shared" si="2"/>
        <v>0.22972972972972971</v>
      </c>
      <c r="G8" s="11">
        <f t="shared" si="3"/>
        <v>0.77027027027027029</v>
      </c>
      <c r="H8" s="12">
        <f t="shared" si="4"/>
        <v>0.73973721941388981</v>
      </c>
      <c r="J8" s="7" t="s">
        <v>26</v>
      </c>
      <c r="K8" s="6">
        <f>+INTERCEPT(H6:H12,C6:C12)</f>
        <v>-3.1479543194866144</v>
      </c>
      <c r="O8" s="2"/>
      <c r="Q8" s="16">
        <v>6</v>
      </c>
      <c r="R8" s="17">
        <f t="shared" si="5"/>
        <v>0.99737744779097981</v>
      </c>
    </row>
    <row r="9" spans="2:18" x14ac:dyDescent="0.25">
      <c r="B9" s="8">
        <v>4</v>
      </c>
      <c r="C9" s="9">
        <v>40</v>
      </c>
      <c r="D9" s="10">
        <f t="shared" si="0"/>
        <v>3.6888794541139363</v>
      </c>
      <c r="E9" s="8">
        <f t="shared" si="1"/>
        <v>2</v>
      </c>
      <c r="F9" s="11">
        <f t="shared" si="2"/>
        <v>0.77027027027027029</v>
      </c>
      <c r="G9" s="11">
        <f t="shared" si="3"/>
        <v>0.22972972972972971</v>
      </c>
      <c r="H9" s="12">
        <f t="shared" si="4"/>
        <v>-0.73973721941388981</v>
      </c>
      <c r="K9" s="6"/>
      <c r="O9" s="2"/>
      <c r="Q9" s="16">
        <v>9</v>
      </c>
      <c r="R9" s="17">
        <f t="shared" si="5"/>
        <v>0.99551763235750901</v>
      </c>
    </row>
    <row r="10" spans="2:18" x14ac:dyDescent="0.25">
      <c r="B10" s="8">
        <v>5</v>
      </c>
      <c r="C10" s="9">
        <v>59</v>
      </c>
      <c r="D10" s="10">
        <f t="shared" si="0"/>
        <v>4.0775374439057197</v>
      </c>
      <c r="E10" s="8">
        <f t="shared" si="1"/>
        <v>5</v>
      </c>
      <c r="F10" s="11">
        <f t="shared" si="2"/>
        <v>0.36486486486486491</v>
      </c>
      <c r="G10" s="11">
        <f t="shared" si="3"/>
        <v>0.63513513513513509</v>
      </c>
      <c r="H10" s="12">
        <f t="shared" si="4"/>
        <v>0.34548507371979842</v>
      </c>
      <c r="J10" s="15" t="s">
        <v>23</v>
      </c>
      <c r="K10" s="14">
        <f>1/K7</f>
        <v>16.836330715448099</v>
      </c>
      <c r="Q10" s="16">
        <v>12</v>
      </c>
      <c r="R10" s="17">
        <f t="shared" si="5"/>
        <v>0.99255842421986606</v>
      </c>
    </row>
    <row r="11" spans="2:18" x14ac:dyDescent="0.25">
      <c r="B11" s="8">
        <v>6</v>
      </c>
      <c r="C11" s="9">
        <v>30</v>
      </c>
      <c r="D11" s="10">
        <f t="shared" si="0"/>
        <v>3.4011973816621555</v>
      </c>
      <c r="E11" s="8">
        <f t="shared" si="1"/>
        <v>1</v>
      </c>
      <c r="F11" s="11">
        <f t="shared" si="2"/>
        <v>0.90540540540540537</v>
      </c>
      <c r="G11" s="11">
        <f t="shared" si="3"/>
        <v>9.4594594594594628E-2</v>
      </c>
      <c r="H11" s="12">
        <f t="shared" si="4"/>
        <v>-1.3129814789733745</v>
      </c>
      <c r="J11" s="15" t="s">
        <v>24</v>
      </c>
      <c r="K11" s="13">
        <f>-K8*K10</f>
        <v>53.000000000000007</v>
      </c>
      <c r="Q11" s="16">
        <v>15</v>
      </c>
      <c r="R11" s="17">
        <f t="shared" si="5"/>
        <v>0.98799670779247994</v>
      </c>
    </row>
    <row r="12" spans="2:18" x14ac:dyDescent="0.25">
      <c r="B12" s="8">
        <v>7</v>
      </c>
      <c r="C12" s="9">
        <v>74</v>
      </c>
      <c r="D12" s="10">
        <f t="shared" si="0"/>
        <v>4.3040650932041702</v>
      </c>
      <c r="E12" s="8">
        <f t="shared" si="1"/>
        <v>7</v>
      </c>
      <c r="F12" s="11">
        <f t="shared" si="2"/>
        <v>9.4594594594594628E-2</v>
      </c>
      <c r="G12" s="11">
        <f t="shared" si="3"/>
        <v>0.90540540540540537</v>
      </c>
      <c r="H12" s="12">
        <f t="shared" si="4"/>
        <v>1.3129814789733745</v>
      </c>
      <c r="Q12" s="16">
        <v>18</v>
      </c>
      <c r="R12" s="17">
        <f t="shared" si="5"/>
        <v>0.98118386743567887</v>
      </c>
    </row>
    <row r="13" spans="2:18" x14ac:dyDescent="0.25">
      <c r="Q13" s="16">
        <v>21</v>
      </c>
      <c r="R13" s="17">
        <f t="shared" si="5"/>
        <v>0.97132617322369097</v>
      </c>
    </row>
    <row r="14" spans="2:18" x14ac:dyDescent="0.25">
      <c r="Q14" s="16">
        <v>24</v>
      </c>
      <c r="R14" s="17">
        <f t="shared" si="5"/>
        <v>0.95750739280183528</v>
      </c>
    </row>
    <row r="15" spans="2:18" x14ac:dyDescent="0.25">
      <c r="B15" t="s">
        <v>11</v>
      </c>
      <c r="C15" t="s">
        <v>12</v>
      </c>
      <c r="Q15" s="16">
        <v>27</v>
      </c>
      <c r="R15" s="17">
        <f t="shared" si="5"/>
        <v>0.93873967896554522</v>
      </c>
    </row>
    <row r="16" spans="2:18" x14ac:dyDescent="0.25">
      <c r="B16" t="s">
        <v>13</v>
      </c>
      <c r="C16" t="s">
        <v>14</v>
      </c>
      <c r="Q16" s="16">
        <v>30</v>
      </c>
      <c r="R16" s="17">
        <f t="shared" si="5"/>
        <v>0.91404517268019536</v>
      </c>
    </row>
    <row r="17" spans="2:18" x14ac:dyDescent="0.25">
      <c r="B17" t="s">
        <v>15</v>
      </c>
      <c r="C17" t="s">
        <v>16</v>
      </c>
      <c r="Q17" s="16">
        <v>33</v>
      </c>
      <c r="R17" s="17">
        <f t="shared" si="5"/>
        <v>0.88256503142643306</v>
      </c>
    </row>
    <row r="18" spans="2:18" x14ac:dyDescent="0.25">
      <c r="B18" t="s">
        <v>17</v>
      </c>
      <c r="C18" t="s">
        <v>18</v>
      </c>
      <c r="Q18" s="16">
        <v>36</v>
      </c>
      <c r="R18" s="17">
        <f t="shared" si="5"/>
        <v>0.84368555796665945</v>
      </c>
    </row>
    <row r="19" spans="2:18" x14ac:dyDescent="0.25">
      <c r="B19" t="s">
        <v>19</v>
      </c>
      <c r="C19" t="s">
        <v>20</v>
      </c>
      <c r="Q19" s="16">
        <v>39</v>
      </c>
      <c r="R19" s="17">
        <f t="shared" si="5"/>
        <v>0.79716429687490042</v>
      </c>
    </row>
    <row r="20" spans="2:18" x14ac:dyDescent="0.25">
      <c r="Q20" s="16">
        <v>42</v>
      </c>
      <c r="R20" s="17">
        <f t="shared" si="5"/>
        <v>0.74323434831143498</v>
      </c>
    </row>
    <row r="21" spans="2:18" x14ac:dyDescent="0.25">
      <c r="Q21" s="16">
        <v>45</v>
      </c>
      <c r="R21" s="17">
        <f t="shared" si="5"/>
        <v>0.68266457155636018</v>
      </c>
    </row>
    <row r="22" spans="2:18" x14ac:dyDescent="0.25">
      <c r="Q22" s="16">
        <v>48</v>
      </c>
      <c r="R22" s="17">
        <f t="shared" si="5"/>
        <v>0.61675789790149005</v>
      </c>
    </row>
    <row r="23" spans="2:18" x14ac:dyDescent="0.25">
      <c r="Q23" s="16">
        <v>51</v>
      </c>
      <c r="R23" s="17">
        <f t="shared" si="5"/>
        <v>0.54727942308445421</v>
      </c>
    </row>
    <row r="24" spans="2:18" x14ac:dyDescent="0.25">
      <c r="Q24" s="16">
        <v>54</v>
      </c>
      <c r="R24" s="17">
        <f t="shared" si="5"/>
        <v>0.47631860256071901</v>
      </c>
    </row>
    <row r="25" spans="2:18" x14ac:dyDescent="0.25">
      <c r="Q25" s="16">
        <v>57</v>
      </c>
      <c r="R25" s="17">
        <f t="shared" si="5"/>
        <v>0.40610286655164352</v>
      </c>
    </row>
    <row r="26" spans="2:18" x14ac:dyDescent="0.25">
      <c r="Q26" s="16">
        <v>60</v>
      </c>
      <c r="R26" s="17">
        <f t="shared" si="5"/>
        <v>0.33879005251134875</v>
      </c>
    </row>
    <row r="27" spans="2:18" x14ac:dyDescent="0.25">
      <c r="Q27" s="16">
        <v>63</v>
      </c>
      <c r="R27" s="17">
        <f t="shared" si="5"/>
        <v>0.27627155869382114</v>
      </c>
    </row>
    <row r="28" spans="2:18" x14ac:dyDescent="0.25">
      <c r="Q28" s="16">
        <v>66</v>
      </c>
      <c r="R28" s="17">
        <f t="shared" si="5"/>
        <v>0.22001583406356429</v>
      </c>
    </row>
    <row r="29" spans="2:18" x14ac:dyDescent="0.25">
      <c r="Q29" s="16">
        <v>69</v>
      </c>
      <c r="R29" s="17">
        <f t="shared" si="5"/>
        <v>0.17097335847445549</v>
      </c>
    </row>
    <row r="30" spans="2:18" x14ac:dyDescent="0.25">
      <c r="Q30" s="16">
        <v>72</v>
      </c>
      <c r="R30" s="17">
        <f t="shared" si="5"/>
        <v>0.12955189158658442</v>
      </c>
    </row>
    <row r="31" spans="2:18" x14ac:dyDescent="0.25">
      <c r="Q31" s="16">
        <v>75</v>
      </c>
      <c r="R31" s="17">
        <f t="shared" si="5"/>
        <v>9.5657645806128677E-2</v>
      </c>
    </row>
    <row r="32" spans="2:18" x14ac:dyDescent="0.25">
      <c r="Q32" s="16">
        <v>78</v>
      </c>
      <c r="R32" s="17">
        <f t="shared" si="5"/>
        <v>6.8787262596988752E-2</v>
      </c>
    </row>
    <row r="33" spans="17:18" x14ac:dyDescent="0.25">
      <c r="Q33" s="16">
        <v>81</v>
      </c>
      <c r="R33" s="17">
        <f t="shared" si="5"/>
        <v>4.8149191450054585E-2</v>
      </c>
    </row>
    <row r="34" spans="17:18" x14ac:dyDescent="0.25">
      <c r="Q34" s="16">
        <v>84</v>
      </c>
      <c r="R34" s="17">
        <f t="shared" si="5"/>
        <v>3.2792004205645098E-2</v>
      </c>
    </row>
    <row r="35" spans="17:18" x14ac:dyDescent="0.25">
      <c r="Q35" s="16">
        <v>87</v>
      </c>
      <c r="R35" s="17">
        <f t="shared" si="5"/>
        <v>2.1720629519773493E-2</v>
      </c>
    </row>
    <row r="36" spans="17:18" x14ac:dyDescent="0.25">
      <c r="Q36" s="16">
        <v>90</v>
      </c>
      <c r="R36" s="17">
        <f t="shared" si="5"/>
        <v>1.3987795730778685E-2</v>
      </c>
    </row>
    <row r="37" spans="17:18" x14ac:dyDescent="0.25">
      <c r="Q37" s="16">
        <v>93</v>
      </c>
      <c r="R37" s="17">
        <f t="shared" si="5"/>
        <v>8.7551296843332294E-3</v>
      </c>
    </row>
    <row r="38" spans="17:18" x14ac:dyDescent="0.25">
      <c r="Q38" s="16">
        <v>96</v>
      </c>
      <c r="R38" s="17">
        <f t="shared" si="5"/>
        <v>5.3246525152158553E-3</v>
      </c>
    </row>
    <row r="39" spans="17:18" x14ac:dyDescent="0.25">
      <c r="Q39" s="16">
        <v>99</v>
      </c>
      <c r="R39" s="17">
        <f t="shared" si="5"/>
        <v>3.1457732224003943E-3</v>
      </c>
    </row>
    <row r="40" spans="17:18" x14ac:dyDescent="0.25">
      <c r="Q40" s="16">
        <v>102</v>
      </c>
      <c r="R40" s="17">
        <f t="shared" si="5"/>
        <v>1.8049890284939085E-3</v>
      </c>
    </row>
    <row r="41" spans="17:18" x14ac:dyDescent="0.25">
      <c r="Q41" s="16">
        <v>105</v>
      </c>
      <c r="R41" s="17">
        <f t="shared" si="5"/>
        <v>1.0056489143922542E-3</v>
      </c>
    </row>
    <row r="42" spans="17:18" x14ac:dyDescent="0.25">
      <c r="Q42" s="16">
        <v>108</v>
      </c>
      <c r="R42" s="17">
        <f t="shared" si="5"/>
        <v>5.4395803765638906E-4</v>
      </c>
    </row>
    <row r="43" spans="17:18" x14ac:dyDescent="0.25">
      <c r="Q43" s="16">
        <v>111</v>
      </c>
      <c r="R43" s="17">
        <f t="shared" si="5"/>
        <v>2.8560244141551117E-4</v>
      </c>
    </row>
    <row r="44" spans="17:18" x14ac:dyDescent="0.25">
      <c r="Q44" s="16">
        <v>114</v>
      </c>
      <c r="R44" s="17">
        <f t="shared" si="5"/>
        <v>1.4553690649743434E-4</v>
      </c>
    </row>
    <row r="45" spans="17:18" x14ac:dyDescent="0.25">
      <c r="Q45" s="16">
        <v>117</v>
      </c>
      <c r="R45" s="17">
        <f t="shared" si="5"/>
        <v>7.1968481777262561E-5</v>
      </c>
    </row>
    <row r="46" spans="17:18" x14ac:dyDescent="0.25">
      <c r="Q46" s="16">
        <v>120</v>
      </c>
      <c r="R46" s="17">
        <f t="shared" si="5"/>
        <v>3.4531716284647018E-5</v>
      </c>
    </row>
    <row r="50" spans="8:8" x14ac:dyDescent="0.25">
      <c r="H50" t="s">
        <v>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152"/>
  <sheetViews>
    <sheetView workbookViewId="0">
      <selection activeCell="T6" sqref="T6"/>
    </sheetView>
  </sheetViews>
  <sheetFormatPr baseColWidth="10" defaultRowHeight="15" x14ac:dyDescent="0.25"/>
  <cols>
    <col min="1" max="1" width="10.7109375" customWidth="1"/>
    <col min="3" max="3" width="20.85546875" customWidth="1"/>
    <col min="6" max="6" width="14.42578125" bestFit="1" customWidth="1"/>
    <col min="18" max="18" width="14.42578125" bestFit="1" customWidth="1"/>
  </cols>
  <sheetData>
    <row r="5" spans="2:20" ht="30" x14ac:dyDescent="0.25">
      <c r="B5" s="46" t="s">
        <v>2</v>
      </c>
      <c r="C5" s="47" t="s">
        <v>0</v>
      </c>
      <c r="D5" s="45" t="s">
        <v>29</v>
      </c>
      <c r="E5" s="45" t="s">
        <v>3</v>
      </c>
      <c r="F5" s="45" t="s">
        <v>4</v>
      </c>
      <c r="G5" s="45" t="s">
        <v>5</v>
      </c>
      <c r="H5" s="44" t="s">
        <v>40</v>
      </c>
      <c r="I5" s="35"/>
      <c r="Q5" s="35" t="s">
        <v>10</v>
      </c>
      <c r="R5" s="35" t="s">
        <v>4</v>
      </c>
      <c r="S5" s="35" t="s">
        <v>59</v>
      </c>
      <c r="T5" s="35" t="s">
        <v>63</v>
      </c>
    </row>
    <row r="6" spans="2:20" x14ac:dyDescent="0.25">
      <c r="B6">
        <v>1</v>
      </c>
      <c r="C6" s="1">
        <v>51</v>
      </c>
      <c r="D6" s="2">
        <f>LN(C6-$O$10)</f>
        <v>2.2940043593380981</v>
      </c>
      <c r="E6">
        <f>_xlfn.RANK.EQ(C6,$C$6:$C$12,1)</f>
        <v>4</v>
      </c>
      <c r="F6" s="4">
        <f>1-(E6-0.3)/($B$12+0.4)</f>
        <v>0.5</v>
      </c>
      <c r="G6" s="2">
        <f>LN(-LN(F6))</f>
        <v>-0.36651292058166435</v>
      </c>
      <c r="H6" s="35">
        <f>_xlfn.WEIBULL.DIST(C6-$O$10,$O$7,$O$8,0)</f>
        <v>3.1020019504508247E-2</v>
      </c>
      <c r="I6" s="35"/>
      <c r="Q6">
        <v>0</v>
      </c>
      <c r="R6" s="4">
        <f>IF(Q6&lt;=$O$10,1,1-_xlfn.WEIBULL.DIST(Q6-$O$10,$O$7,$O$8,1))</f>
        <v>1</v>
      </c>
      <c r="S6" s="20">
        <f>1-R6</f>
        <v>0</v>
      </c>
      <c r="T6">
        <f xml:space="preserve"> $O$8/$O$7*GAMMADIST((R6/$O$8)^$O$7,1/$O$7,1,1)*_xlfn.GAMMA(1/$O$7)</f>
        <v>0.94446449971033009</v>
      </c>
    </row>
    <row r="7" spans="2:20" x14ac:dyDescent="0.25">
      <c r="B7">
        <v>2</v>
      </c>
      <c r="C7" s="1">
        <v>46</v>
      </c>
      <c r="D7" s="2">
        <f t="shared" ref="D7:D12" si="0">LN(C7-$O$10)</f>
        <v>1.5922021784096263</v>
      </c>
      <c r="E7">
        <f t="shared" ref="E7:E12" si="1">_xlfn.RANK.EQ(C7,$C$6:$C$12,1)</f>
        <v>3</v>
      </c>
      <c r="F7" s="4">
        <f t="shared" ref="F7:F12" si="2">1-(E7-0.3)/($B$12+0.4)</f>
        <v>0.63513513513513509</v>
      </c>
      <c r="G7" s="2">
        <f t="shared" ref="G7:G12" si="3">LN(-LN(F7))</f>
        <v>-0.78983983425403359</v>
      </c>
      <c r="H7" s="35">
        <f t="shared" ref="H7:H12" si="4">_xlfn.WEIBULL.DIST(C7-$O$10,$O$7,$O$8,0)</f>
        <v>4.8564628509285362E-2</v>
      </c>
      <c r="I7" s="35"/>
      <c r="N7" s="48" t="s">
        <v>6</v>
      </c>
      <c r="O7" s="6">
        <f>SLOPE(G6:G12,D6:D12)</f>
        <v>0.86165095815713244</v>
      </c>
      <c r="Q7">
        <v>3</v>
      </c>
      <c r="R7" s="4">
        <f t="shared" ref="R7:R70" si="5">IF(Q7&lt;=$O$10,1,1-_xlfn.WEIBULL.DIST(Q7-$O$10,$O$7,$O$8,1))</f>
        <v>1</v>
      </c>
      <c r="S7" s="20">
        <f t="shared" ref="S7:S70" si="6">1-R7</f>
        <v>0</v>
      </c>
      <c r="T7">
        <f t="shared" ref="T7:T70" si="7" xml:space="preserve"> $O$8/$O$7*GAMMADIST((R7/$O$8)^$O$7,1/$O$7,1,1)*_xlfn.GAMMA(1/$O$7)</f>
        <v>0.94446449971033009</v>
      </c>
    </row>
    <row r="8" spans="2:20" x14ac:dyDescent="0.25">
      <c r="B8">
        <v>3</v>
      </c>
      <c r="C8" s="1">
        <v>65</v>
      </c>
      <c r="D8" s="2">
        <f t="shared" si="0"/>
        <v>3.174487468334815</v>
      </c>
      <c r="E8">
        <f t="shared" si="1"/>
        <v>6</v>
      </c>
      <c r="F8" s="4">
        <f t="shared" si="2"/>
        <v>0.22972972972972971</v>
      </c>
      <c r="G8" s="2">
        <f t="shared" si="3"/>
        <v>0.38584165418008665</v>
      </c>
      <c r="H8" s="35">
        <f t="shared" si="4"/>
        <v>1.1405659780039164E-2</v>
      </c>
      <c r="I8" s="35"/>
      <c r="N8" s="48" t="s">
        <v>7</v>
      </c>
      <c r="O8" s="2">
        <f>EXP(-O9/O7)</f>
        <v>13.349432063344187</v>
      </c>
      <c r="P8" t="s">
        <v>9</v>
      </c>
      <c r="Q8">
        <v>6</v>
      </c>
      <c r="R8" s="4">
        <f t="shared" si="5"/>
        <v>1</v>
      </c>
      <c r="S8" s="20">
        <f t="shared" si="6"/>
        <v>0</v>
      </c>
      <c r="T8">
        <f t="shared" si="7"/>
        <v>0.94446449971033009</v>
      </c>
    </row>
    <row r="9" spans="2:20" x14ac:dyDescent="0.25">
      <c r="B9">
        <v>4</v>
      </c>
      <c r="C9" s="1">
        <v>42</v>
      </c>
      <c r="D9" s="2">
        <f t="shared" si="0"/>
        <v>-8.9312468659205654E-2</v>
      </c>
      <c r="E9">
        <f t="shared" si="1"/>
        <v>1</v>
      </c>
      <c r="F9" s="4">
        <f t="shared" si="2"/>
        <v>0.90540540540540537</v>
      </c>
      <c r="G9" s="2">
        <f t="shared" si="3"/>
        <v>-2.3088801270783894</v>
      </c>
      <c r="H9" s="35">
        <f t="shared" si="4"/>
        <v>8.4689334506473216E-2</v>
      </c>
      <c r="I9" s="35"/>
      <c r="N9" s="48" t="s">
        <v>8</v>
      </c>
      <c r="O9" s="2">
        <f>INTERCEPT(G6:G12,D6:D12)</f>
        <v>-2.2329459188861915</v>
      </c>
      <c r="Q9">
        <v>9</v>
      </c>
      <c r="R9" s="4">
        <f t="shared" si="5"/>
        <v>1</v>
      </c>
      <c r="S9" s="20">
        <f t="shared" si="6"/>
        <v>0</v>
      </c>
      <c r="T9">
        <f t="shared" si="7"/>
        <v>0.94446449971033009</v>
      </c>
    </row>
    <row r="10" spans="2:20" x14ac:dyDescent="0.25">
      <c r="B10">
        <v>5</v>
      </c>
      <c r="C10" s="1">
        <v>53</v>
      </c>
      <c r="D10" s="2">
        <f t="shared" si="0"/>
        <v>2.4777611612874169</v>
      </c>
      <c r="E10">
        <f t="shared" si="1"/>
        <v>5</v>
      </c>
      <c r="F10" s="4">
        <f t="shared" si="2"/>
        <v>0.36486486486486491</v>
      </c>
      <c r="G10" s="2">
        <f t="shared" si="3"/>
        <v>8.1945598938292404E-3</v>
      </c>
      <c r="H10" s="35">
        <f t="shared" si="4"/>
        <v>2.6481384376432337E-2</v>
      </c>
      <c r="I10" s="35"/>
      <c r="N10" s="48" t="s">
        <v>28</v>
      </c>
      <c r="O10" s="21">
        <v>41.08544024233872</v>
      </c>
      <c r="Q10">
        <v>12</v>
      </c>
      <c r="R10" s="4">
        <f t="shared" si="5"/>
        <v>1</v>
      </c>
      <c r="S10" s="20">
        <f t="shared" si="6"/>
        <v>0</v>
      </c>
      <c r="T10">
        <f t="shared" si="7"/>
        <v>0.94446449971033009</v>
      </c>
    </row>
    <row r="11" spans="2:20" x14ac:dyDescent="0.25">
      <c r="B11">
        <v>6</v>
      </c>
      <c r="C11" s="1">
        <v>44</v>
      </c>
      <c r="D11" s="2">
        <f t="shared" si="0"/>
        <v>1.0697187818655074</v>
      </c>
      <c r="E11">
        <f t="shared" si="1"/>
        <v>2</v>
      </c>
      <c r="F11" s="4">
        <f t="shared" si="2"/>
        <v>0.77027027027027029</v>
      </c>
      <c r="G11" s="2">
        <f t="shared" si="3"/>
        <v>-1.3431819022975191</v>
      </c>
      <c r="H11" s="35">
        <f t="shared" si="4"/>
        <v>6.0850446877270932E-2</v>
      </c>
      <c r="I11" s="35" t="s">
        <v>56</v>
      </c>
      <c r="N11" s="48" t="s">
        <v>30</v>
      </c>
      <c r="O11" s="20">
        <f>IFERROR(RSQ(G6:G12,D6:D12),0.1)</f>
        <v>0.99289531720766799</v>
      </c>
      <c r="Q11">
        <v>15</v>
      </c>
      <c r="R11" s="4">
        <f t="shared" si="5"/>
        <v>1</v>
      </c>
      <c r="S11" s="20">
        <f t="shared" si="6"/>
        <v>0</v>
      </c>
      <c r="T11">
        <f t="shared" si="7"/>
        <v>0.94446449971033009</v>
      </c>
    </row>
    <row r="12" spans="2:20" x14ac:dyDescent="0.25">
      <c r="B12">
        <v>7</v>
      </c>
      <c r="C12" s="1">
        <v>74</v>
      </c>
      <c r="D12" s="2">
        <f t="shared" si="0"/>
        <v>3.4939151057023738</v>
      </c>
      <c r="E12">
        <f t="shared" si="1"/>
        <v>7</v>
      </c>
      <c r="F12" s="4">
        <f t="shared" si="2"/>
        <v>9.4594594594594628E-2</v>
      </c>
      <c r="G12" s="2">
        <f t="shared" si="3"/>
        <v>0.85787950994316486</v>
      </c>
      <c r="H12" s="35">
        <f t="shared" si="4"/>
        <v>6.4643640828111956E-3</v>
      </c>
      <c r="I12" s="35">
        <f>IFERROR(LN(PRODUCT(H6:H12)),-1000)</f>
        <v>-24.912493514413381</v>
      </c>
      <c r="Q12">
        <v>18</v>
      </c>
      <c r="R12" s="4">
        <f t="shared" si="5"/>
        <v>1</v>
      </c>
      <c r="S12" s="20">
        <f t="shared" si="6"/>
        <v>0</v>
      </c>
      <c r="T12">
        <f t="shared" si="7"/>
        <v>0.94446449971033009</v>
      </c>
    </row>
    <row r="13" spans="2:20" x14ac:dyDescent="0.25">
      <c r="N13" t="s">
        <v>31</v>
      </c>
      <c r="Q13">
        <v>21</v>
      </c>
      <c r="R13" s="4">
        <f t="shared" si="5"/>
        <v>1</v>
      </c>
      <c r="S13" s="20">
        <f t="shared" si="6"/>
        <v>0</v>
      </c>
      <c r="T13">
        <f t="shared" si="7"/>
        <v>0.94446449971033009</v>
      </c>
    </row>
    <row r="14" spans="2:20" x14ac:dyDescent="0.25">
      <c r="K14" s="35" t="s">
        <v>58</v>
      </c>
      <c r="N14" t="s">
        <v>32</v>
      </c>
      <c r="Q14">
        <v>24</v>
      </c>
      <c r="R14" s="4">
        <f t="shared" si="5"/>
        <v>1</v>
      </c>
      <c r="S14" s="20">
        <f t="shared" si="6"/>
        <v>0</v>
      </c>
      <c r="T14">
        <f t="shared" si="7"/>
        <v>0.94446449971033009</v>
      </c>
    </row>
    <row r="15" spans="2:20" x14ac:dyDescent="0.25">
      <c r="K15" s="35" t="s">
        <v>57</v>
      </c>
      <c r="L15">
        <f>2*3-I12</f>
        <v>30.912493514413381</v>
      </c>
      <c r="Q15">
        <v>27</v>
      </c>
      <c r="R15" s="4">
        <f t="shared" si="5"/>
        <v>1</v>
      </c>
      <c r="S15" s="20">
        <f t="shared" si="6"/>
        <v>0</v>
      </c>
      <c r="T15">
        <f t="shared" si="7"/>
        <v>0.94446449971033009</v>
      </c>
    </row>
    <row r="16" spans="2:20" x14ac:dyDescent="0.25">
      <c r="Q16">
        <v>30</v>
      </c>
      <c r="R16" s="4">
        <f t="shared" si="5"/>
        <v>1</v>
      </c>
      <c r="S16" s="20">
        <f t="shared" si="6"/>
        <v>0</v>
      </c>
      <c r="T16">
        <f t="shared" si="7"/>
        <v>0.94446449971033009</v>
      </c>
    </row>
    <row r="17" spans="17:20" x14ac:dyDescent="0.25">
      <c r="Q17">
        <v>33</v>
      </c>
      <c r="R17" s="4">
        <f t="shared" si="5"/>
        <v>1</v>
      </c>
      <c r="S17" s="20">
        <f t="shared" si="6"/>
        <v>0</v>
      </c>
      <c r="T17">
        <f t="shared" si="7"/>
        <v>0.94446449971033009</v>
      </c>
    </row>
    <row r="18" spans="17:20" x14ac:dyDescent="0.25">
      <c r="Q18">
        <v>36</v>
      </c>
      <c r="R18" s="4">
        <f t="shared" si="5"/>
        <v>1</v>
      </c>
      <c r="S18" s="20">
        <f t="shared" si="6"/>
        <v>0</v>
      </c>
      <c r="T18">
        <f t="shared" si="7"/>
        <v>0.94446449971033009</v>
      </c>
    </row>
    <row r="19" spans="17:20" x14ac:dyDescent="0.25">
      <c r="Q19">
        <v>39</v>
      </c>
      <c r="R19" s="4">
        <f t="shared" si="5"/>
        <v>1</v>
      </c>
      <c r="S19" s="20">
        <f t="shared" si="6"/>
        <v>0</v>
      </c>
      <c r="T19">
        <f t="shared" si="7"/>
        <v>0.94446449971033009</v>
      </c>
    </row>
    <row r="20" spans="17:20" x14ac:dyDescent="0.25">
      <c r="Q20">
        <v>40</v>
      </c>
      <c r="R20" s="4">
        <f t="shared" si="5"/>
        <v>1</v>
      </c>
      <c r="S20" s="20">
        <f t="shared" si="6"/>
        <v>0</v>
      </c>
      <c r="T20">
        <f t="shared" si="7"/>
        <v>0.94446449971033009</v>
      </c>
    </row>
    <row r="21" spans="17:20" x14ac:dyDescent="0.25">
      <c r="Q21">
        <v>41</v>
      </c>
      <c r="R21" s="4">
        <f t="shared" si="5"/>
        <v>1</v>
      </c>
      <c r="S21" s="20">
        <f t="shared" si="6"/>
        <v>0</v>
      </c>
      <c r="T21">
        <f t="shared" si="7"/>
        <v>0.94446449971033009</v>
      </c>
    </row>
    <row r="22" spans="17:20" x14ac:dyDescent="0.25">
      <c r="Q22">
        <v>42</v>
      </c>
      <c r="R22" s="4">
        <f t="shared" si="5"/>
        <v>0.9054973118099392</v>
      </c>
      <c r="S22" s="20">
        <f t="shared" si="6"/>
        <v>9.4502688190060802E-2</v>
      </c>
      <c r="T22">
        <f t="shared" si="7"/>
        <v>0.85919609515184991</v>
      </c>
    </row>
    <row r="23" spans="17:20" x14ac:dyDescent="0.25">
      <c r="Q23">
        <v>43</v>
      </c>
      <c r="R23" s="4">
        <f t="shared" si="5"/>
        <v>0.82892615340452669</v>
      </c>
      <c r="S23" s="20">
        <f t="shared" si="6"/>
        <v>0.17107384659547331</v>
      </c>
      <c r="T23">
        <f t="shared" si="7"/>
        <v>0.78955186196607419</v>
      </c>
    </row>
    <row r="24" spans="17:20" x14ac:dyDescent="0.25">
      <c r="Q24">
        <v>44</v>
      </c>
      <c r="R24" s="4">
        <f t="shared" si="5"/>
        <v>0.76376844592135651</v>
      </c>
      <c r="S24" s="20">
        <f t="shared" si="6"/>
        <v>0.23623155407864349</v>
      </c>
      <c r="T24">
        <f t="shared" si="7"/>
        <v>0.72988931856261163</v>
      </c>
    </row>
    <row r="25" spans="17:20" x14ac:dyDescent="0.25">
      <c r="Q25">
        <v>45</v>
      </c>
      <c r="R25" s="4">
        <f t="shared" si="5"/>
        <v>0.70646619495757523</v>
      </c>
      <c r="S25" s="20">
        <f t="shared" si="6"/>
        <v>0.29353380504242477</v>
      </c>
      <c r="T25">
        <f t="shared" si="7"/>
        <v>0.67711090063871948</v>
      </c>
    </row>
    <row r="26" spans="17:20" x14ac:dyDescent="0.25">
      <c r="Q26">
        <v>46</v>
      </c>
      <c r="R26" s="4">
        <f t="shared" si="5"/>
        <v>0.6552560225697448</v>
      </c>
      <c r="S26" s="20">
        <f t="shared" si="6"/>
        <v>0.3447439774302552</v>
      </c>
      <c r="T26">
        <f t="shared" si="7"/>
        <v>0.62969499571855536</v>
      </c>
    </row>
    <row r="27" spans="17:20" x14ac:dyDescent="0.25">
      <c r="Q27">
        <v>47</v>
      </c>
      <c r="R27" s="4">
        <f t="shared" si="5"/>
        <v>0.6090381889385903</v>
      </c>
      <c r="S27" s="20">
        <f t="shared" si="6"/>
        <v>0.3909618110614097</v>
      </c>
      <c r="T27">
        <f t="shared" si="7"/>
        <v>0.58669693713664539</v>
      </c>
    </row>
    <row r="28" spans="17:20" x14ac:dyDescent="0.25">
      <c r="Q28">
        <v>48</v>
      </c>
      <c r="R28" s="4">
        <f t="shared" si="5"/>
        <v>0.56704327930385623</v>
      </c>
      <c r="S28" s="20">
        <f t="shared" si="6"/>
        <v>0.43295672069614377</v>
      </c>
      <c r="T28">
        <f t="shared" si="7"/>
        <v>0.54745679432321959</v>
      </c>
    </row>
    <row r="29" spans="17:20" x14ac:dyDescent="0.25">
      <c r="Q29">
        <v>49</v>
      </c>
      <c r="R29" s="4">
        <f t="shared" si="5"/>
        <v>0.52869455067962878</v>
      </c>
      <c r="S29" s="20">
        <f t="shared" si="6"/>
        <v>0.47130544932037122</v>
      </c>
      <c r="T29">
        <f t="shared" si="7"/>
        <v>0.51147956345109269</v>
      </c>
    </row>
    <row r="30" spans="17:20" x14ac:dyDescent="0.25">
      <c r="Q30">
        <v>50</v>
      </c>
      <c r="R30" s="4">
        <f t="shared" si="5"/>
        <v>0.49353952423187719</v>
      </c>
      <c r="S30" s="20">
        <f t="shared" si="6"/>
        <v>0.50646047576812281</v>
      </c>
      <c r="T30">
        <f t="shared" si="7"/>
        <v>0.47837604117875621</v>
      </c>
    </row>
    <row r="31" spans="17:20" x14ac:dyDescent="0.25">
      <c r="Q31">
        <v>51</v>
      </c>
      <c r="R31" s="4">
        <f t="shared" si="5"/>
        <v>0.46121163777327234</v>
      </c>
      <c r="S31" s="20">
        <f t="shared" si="6"/>
        <v>0.53878836222672766</v>
      </c>
      <c r="T31">
        <f t="shared" si="7"/>
        <v>0.44782989792133115</v>
      </c>
    </row>
    <row r="32" spans="17:20" x14ac:dyDescent="0.25">
      <c r="Q32">
        <v>52</v>
      </c>
      <c r="R32" s="4">
        <f t="shared" si="5"/>
        <v>0.4314068298645779</v>
      </c>
      <c r="S32" s="20">
        <f t="shared" si="6"/>
        <v>0.5685931701354221</v>
      </c>
      <c r="T32">
        <f t="shared" si="7"/>
        <v>0.41957769371270609</v>
      </c>
    </row>
    <row r="33" spans="17:20" x14ac:dyDescent="0.25">
      <c r="Q33">
        <v>53</v>
      </c>
      <c r="R33" s="4">
        <f t="shared" si="5"/>
        <v>0.40386829506530408</v>
      </c>
      <c r="S33" s="20">
        <f t="shared" si="6"/>
        <v>0.59613170493469592</v>
      </c>
      <c r="T33">
        <f t="shared" si="7"/>
        <v>0.39339593798623013</v>
      </c>
    </row>
    <row r="34" spans="17:20" x14ac:dyDescent="0.25">
      <c r="Q34">
        <v>54</v>
      </c>
      <c r="R34" s="4">
        <f t="shared" si="5"/>
        <v>0.37837605153607035</v>
      </c>
      <c r="S34" s="20">
        <f t="shared" si="6"/>
        <v>0.62162394846392965</v>
      </c>
      <c r="T34">
        <f t="shared" si="7"/>
        <v>0.36909227546260065</v>
      </c>
    </row>
    <row r="35" spans="17:20" x14ac:dyDescent="0.25">
      <c r="Q35">
        <v>55</v>
      </c>
      <c r="R35" s="4">
        <f t="shared" si="5"/>
        <v>0.35473951152223082</v>
      </c>
      <c r="S35" s="20">
        <f t="shared" si="6"/>
        <v>0.64526048847776918</v>
      </c>
      <c r="T35">
        <f t="shared" si="7"/>
        <v>0.34649923323986309</v>
      </c>
    </row>
    <row r="36" spans="17:20" x14ac:dyDescent="0.25">
      <c r="Q36">
        <v>56</v>
      </c>
      <c r="R36" s="4">
        <f t="shared" si="5"/>
        <v>0.33279201533414637</v>
      </c>
      <c r="S36" s="20">
        <f t="shared" si="6"/>
        <v>0.66720798466585363</v>
      </c>
      <c r="T36">
        <f t="shared" si="7"/>
        <v>0.32546963422725333</v>
      </c>
    </row>
    <row r="37" spans="17:20" x14ac:dyDescent="0.25">
      <c r="Q37">
        <v>57</v>
      </c>
      <c r="R37" s="4">
        <f t="shared" si="5"/>
        <v>0.31238669978478262</v>
      </c>
      <c r="S37" s="20">
        <f t="shared" si="6"/>
        <v>0.68761330021521738</v>
      </c>
      <c r="T37">
        <f t="shared" si="7"/>
        <v>0.30587313779690439</v>
      </c>
    </row>
    <row r="38" spans="17:20" x14ac:dyDescent="0.25">
      <c r="Q38">
        <v>58</v>
      </c>
      <c r="R38" s="4">
        <f t="shared" si="5"/>
        <v>0.29339330349968251</v>
      </c>
      <c r="S38" s="20">
        <f t="shared" si="6"/>
        <v>0.70660669650031749</v>
      </c>
      <c r="T38">
        <f t="shared" si="7"/>
        <v>0.28759356842871125</v>
      </c>
    </row>
    <row r="39" spans="17:20" x14ac:dyDescent="0.25">
      <c r="Q39">
        <v>59</v>
      </c>
      <c r="R39" s="4">
        <f t="shared" si="5"/>
        <v>0.27569564841381267</v>
      </c>
      <c r="S39" s="20">
        <f t="shared" si="6"/>
        <v>0.72430435158618733</v>
      </c>
      <c r="T39">
        <f t="shared" si="7"/>
        <v>0.27052681091174391</v>
      </c>
    </row>
    <row r="40" spans="17:20" x14ac:dyDescent="0.25">
      <c r="Q40">
        <v>60</v>
      </c>
      <c r="R40" s="4">
        <f t="shared" si="5"/>
        <v>0.25918962107114074</v>
      </c>
      <c r="S40" s="20">
        <f t="shared" si="6"/>
        <v>0.74081037892885926</v>
      </c>
      <c r="T40">
        <f t="shared" si="7"/>
        <v>0.25457912291988599</v>
      </c>
    </row>
    <row r="41" spans="17:20" x14ac:dyDescent="0.25">
      <c r="Q41">
        <v>61</v>
      </c>
      <c r="R41" s="4">
        <f t="shared" si="5"/>
        <v>0.24378153108496348</v>
      </c>
      <c r="S41" s="20">
        <f t="shared" si="6"/>
        <v>0.75621846891503652</v>
      </c>
      <c r="T41">
        <f t="shared" si="7"/>
        <v>0.23966576166347189</v>
      </c>
    </row>
    <row r="42" spans="17:20" x14ac:dyDescent="0.25">
      <c r="Q42">
        <v>62</v>
      </c>
      <c r="R42" s="4">
        <f t="shared" si="5"/>
        <v>0.22938675942596576</v>
      </c>
      <c r="S42" s="20">
        <f t="shared" si="6"/>
        <v>0.77061324057403424</v>
      </c>
      <c r="T42">
        <f t="shared" si="7"/>
        <v>0.22570985134822683</v>
      </c>
    </row>
    <row r="43" spans="17:20" x14ac:dyDescent="0.25">
      <c r="Q43">
        <v>63</v>
      </c>
      <c r="R43" s="4">
        <f t="shared" si="5"/>
        <v>0.21592863302541987</v>
      </c>
      <c r="S43" s="20">
        <f t="shared" si="6"/>
        <v>0.78407136697458013</v>
      </c>
      <c r="T43">
        <f t="shared" si="7"/>
        <v>0.21264143835364324</v>
      </c>
    </row>
    <row r="44" spans="17:20" x14ac:dyDescent="0.25">
      <c r="Q44">
        <v>64</v>
      </c>
      <c r="R44" s="4">
        <f t="shared" si="5"/>
        <v>0.20333747863200435</v>
      </c>
      <c r="S44" s="20">
        <f t="shared" si="6"/>
        <v>0.79666252136799565</v>
      </c>
      <c r="T44">
        <f t="shared" si="7"/>
        <v>0.2003966949274891</v>
      </c>
    </row>
    <row r="45" spans="17:20" x14ac:dyDescent="0.25">
      <c r="Q45">
        <v>65</v>
      </c>
      <c r="R45" s="4">
        <f t="shared" si="5"/>
        <v>0.19154982046230018</v>
      </c>
      <c r="S45" s="20">
        <f t="shared" si="6"/>
        <v>0.80845017953769982</v>
      </c>
      <c r="T45">
        <f t="shared" si="7"/>
        <v>0.18891724194833856</v>
      </c>
    </row>
    <row r="46" spans="17:20" x14ac:dyDescent="0.25">
      <c r="Q46">
        <v>66</v>
      </c>
      <c r="R46" s="4">
        <f t="shared" si="5"/>
        <v>0.18050769452163917</v>
      </c>
      <c r="S46" s="20">
        <f t="shared" si="6"/>
        <v>0.81949230547836083</v>
      </c>
      <c r="T46">
        <f t="shared" si="7"/>
        <v>0.17814956829259188</v>
      </c>
    </row>
    <row r="47" spans="17:20" x14ac:dyDescent="0.25">
      <c r="Q47">
        <v>67</v>
      </c>
      <c r="R47" s="4">
        <f t="shared" si="5"/>
        <v>0.17015805856477328</v>
      </c>
      <c r="S47" s="20">
        <f t="shared" si="6"/>
        <v>0.82984194143522672</v>
      </c>
      <c r="T47">
        <f t="shared" si="7"/>
        <v>0.16804452942935363</v>
      </c>
    </row>
    <row r="48" spans="17:20" x14ac:dyDescent="0.25">
      <c r="Q48">
        <v>68</v>
      </c>
      <c r="R48" s="4">
        <f t="shared" si="5"/>
        <v>0.16045228118767263</v>
      </c>
      <c r="S48" s="20">
        <f t="shared" si="6"/>
        <v>0.83954771881232737</v>
      </c>
      <c r="T48">
        <f t="shared" si="7"/>
        <v>0.15855691162937091</v>
      </c>
    </row>
    <row r="49" spans="17:20" x14ac:dyDescent="0.25">
      <c r="Q49">
        <v>69</v>
      </c>
      <c r="R49" s="4">
        <f t="shared" si="5"/>
        <v>0.1513456969449819</v>
      </c>
      <c r="S49" s="20">
        <f t="shared" si="6"/>
        <v>0.8486543030550181</v>
      </c>
      <c r="T49">
        <f t="shared" si="7"/>
        <v>0.14964505099739173</v>
      </c>
    </row>
    <row r="50" spans="17:20" x14ac:dyDescent="0.25">
      <c r="Q50">
        <v>70</v>
      </c>
      <c r="R50" s="4">
        <f t="shared" si="5"/>
        <v>0.14279721698199399</v>
      </c>
      <c r="S50" s="20">
        <f t="shared" si="6"/>
        <v>0.85720278301800601</v>
      </c>
      <c r="T50">
        <f t="shared" si="7"/>
        <v>0.14127049868321048</v>
      </c>
    </row>
    <row r="51" spans="17:20" x14ac:dyDescent="0.25">
      <c r="Q51">
        <v>71</v>
      </c>
      <c r="R51" s="4">
        <f t="shared" si="5"/>
        <v>0.1347689866710603</v>
      </c>
      <c r="S51" s="20">
        <f t="shared" si="6"/>
        <v>0.8652310133289397</v>
      </c>
      <c r="T51">
        <f t="shared" si="7"/>
        <v>0.1333977252774507</v>
      </c>
    </row>
    <row r="52" spans="17:20" x14ac:dyDescent="0.25">
      <c r="Q52">
        <v>72</v>
      </c>
      <c r="R52" s="4">
        <f t="shared" si="5"/>
        <v>0.1272260833026192</v>
      </c>
      <c r="S52" s="20">
        <f t="shared" si="6"/>
        <v>0.8727739166973808</v>
      </c>
      <c r="T52">
        <f t="shared" si="7"/>
        <v>0.12599385868221574</v>
      </c>
    </row>
    <row r="53" spans="17:20" x14ac:dyDescent="0.25">
      <c r="Q53">
        <v>73</v>
      </c>
      <c r="R53" s="4">
        <f t="shared" si="5"/>
        <v>0.12013624810978341</v>
      </c>
      <c r="S53" s="20">
        <f t="shared" si="6"/>
        <v>0.87986375189021659</v>
      </c>
      <c r="T53">
        <f t="shared" si="7"/>
        <v>0.11902845075584535</v>
      </c>
    </row>
    <row r="54" spans="17:20" x14ac:dyDescent="0.25">
      <c r="Q54">
        <v>74</v>
      </c>
      <c r="R54" s="4">
        <f t="shared" si="5"/>
        <v>0.1134696478821382</v>
      </c>
      <c r="S54" s="20">
        <f t="shared" si="6"/>
        <v>0.8865303521178618</v>
      </c>
      <c r="T54">
        <f t="shared" si="7"/>
        <v>0.11247326883168676</v>
      </c>
    </row>
    <row r="55" spans="17:20" x14ac:dyDescent="0.25">
      <c r="Q55">
        <v>75</v>
      </c>
      <c r="R55" s="4">
        <f t="shared" si="5"/>
        <v>0.10719866220742946</v>
      </c>
      <c r="S55" s="20">
        <f t="shared" si="6"/>
        <v>0.89280133779257054</v>
      </c>
      <c r="T55">
        <f t="shared" si="7"/>
        <v>0.10630210885170695</v>
      </c>
    </row>
    <row r="56" spans="17:20" x14ac:dyDescent="0.25">
      <c r="Q56">
        <v>76</v>
      </c>
      <c r="R56" s="4">
        <f t="shared" si="5"/>
        <v>0.10129769301264535</v>
      </c>
      <c r="S56" s="20">
        <f t="shared" si="6"/>
        <v>0.89870230698735465</v>
      </c>
      <c r="T56">
        <f t="shared" si="7"/>
        <v>0.10049062737313642</v>
      </c>
    </row>
    <row r="57" spans="17:20" x14ac:dyDescent="0.25">
      <c r="Q57">
        <v>77</v>
      </c>
      <c r="R57" s="4">
        <f t="shared" si="5"/>
        <v>9.5742993591210523E-2</v>
      </c>
      <c r="S57" s="20">
        <f t="shared" si="6"/>
        <v>0.90425700640878948</v>
      </c>
      <c r="T57">
        <f t="shared" si="7"/>
        <v>9.5016190127171926E-2</v>
      </c>
    </row>
    <row r="58" spans="17:20" x14ac:dyDescent="0.25">
      <c r="Q58">
        <v>78</v>
      </c>
      <c r="R58" s="4">
        <f t="shared" si="5"/>
        <v>9.0512514725448745E-2</v>
      </c>
      <c r="S58" s="20">
        <f t="shared" si="6"/>
        <v>0.90948748527455126</v>
      </c>
      <c r="T58">
        <f t="shared" si="7"/>
        <v>8.9857735153637375E-2</v>
      </c>
    </row>
    <row r="59" spans="17:20" x14ac:dyDescent="0.25">
      <c r="Q59">
        <v>79</v>
      </c>
      <c r="R59" s="4">
        <f t="shared" si="5"/>
        <v>8.5585765862051799E-2</v>
      </c>
      <c r="S59" s="20">
        <f t="shared" si="6"/>
        <v>0.9144142341379482</v>
      </c>
      <c r="T59">
        <f t="shared" si="7"/>
        <v>8.4995648820005182E-2</v>
      </c>
    </row>
    <row r="60" spans="17:20" x14ac:dyDescent="0.25">
      <c r="Q60">
        <v>80</v>
      </c>
      <c r="R60" s="4">
        <f t="shared" si="5"/>
        <v>8.0943689587731571E-2</v>
      </c>
      <c r="S60" s="20">
        <f t="shared" si="6"/>
        <v>0.91905631041226843</v>
      </c>
      <c r="T60">
        <f t="shared" si="7"/>
        <v>8.041165326944083E-2</v>
      </c>
    </row>
    <row r="61" spans="17:20" x14ac:dyDescent="0.25">
      <c r="Q61">
        <v>81</v>
      </c>
      <c r="R61" s="4">
        <f t="shared" si="5"/>
        <v>7.6568547893910766E-2</v>
      </c>
      <c r="S61" s="20">
        <f t="shared" si="6"/>
        <v>0.92343145210608923</v>
      </c>
      <c r="T61">
        <f t="shared" si="7"/>
        <v>7.6088704039881605E-2</v>
      </c>
    </row>
    <row r="62" spans="17:20" x14ac:dyDescent="0.25">
      <c r="Q62">
        <v>82</v>
      </c>
      <c r="R62" s="4">
        <f t="shared" si="5"/>
        <v>7.2443818922218517E-2</v>
      </c>
      <c r="S62" s="20">
        <f t="shared" si="6"/>
        <v>0.92755618107778148</v>
      </c>
      <c r="T62">
        <f t="shared" si="7"/>
        <v>7.2010896761972074E-2</v>
      </c>
    </row>
    <row r="63" spans="17:20" x14ac:dyDescent="0.25">
      <c r="Q63">
        <v>83</v>
      </c>
      <c r="R63" s="4">
        <f t="shared" si="5"/>
        <v>6.8554103053765747E-2</v>
      </c>
      <c r="S63" s="20">
        <f t="shared" si="6"/>
        <v>0.93144589694623425</v>
      </c>
      <c r="T63">
        <f t="shared" si="7"/>
        <v>6.8163381983718449E-2</v>
      </c>
    </row>
    <row r="64" spans="17:20" x14ac:dyDescent="0.25">
      <c r="Q64">
        <v>84</v>
      </c>
      <c r="R64" s="4">
        <f t="shared" si="5"/>
        <v>6.4885037350338681E-2</v>
      </c>
      <c r="S64" s="20">
        <f t="shared" si="6"/>
        <v>0.93511496264966132</v>
      </c>
      <c r="T64">
        <f t="shared" si="7"/>
        <v>6.4532287288619164E-2</v>
      </c>
    </row>
    <row r="65" spans="17:20" x14ac:dyDescent="0.25">
      <c r="Q65">
        <v>85</v>
      </c>
      <c r="R65" s="4">
        <f t="shared" si="5"/>
        <v>6.1423217479278813E-2</v>
      </c>
      <c r="S65" s="20">
        <f t="shared" si="6"/>
        <v>0.93857678252072119</v>
      </c>
      <c r="T65">
        <f t="shared" si="7"/>
        <v>6.1104645975435079E-2</v>
      </c>
    </row>
    <row r="66" spans="17:20" x14ac:dyDescent="0.25">
      <c r="Q66">
        <v>86</v>
      </c>
      <c r="R66" s="4">
        <f t="shared" si="5"/>
        <v>5.815612635955103E-2</v>
      </c>
      <c r="S66" s="20">
        <f t="shared" si="6"/>
        <v>0.94184387364044897</v>
      </c>
      <c r="T66">
        <f t="shared" si="7"/>
        <v>5.7868331654650391E-2</v>
      </c>
    </row>
    <row r="67" spans="17:20" x14ac:dyDescent="0.25">
      <c r="Q67">
        <v>87</v>
      </c>
      <c r="R67" s="4">
        <f t="shared" si="5"/>
        <v>5.5072068857307976E-2</v>
      </c>
      <c r="S67" s="20">
        <f t="shared" si="6"/>
        <v>0.94492793114269202</v>
      </c>
      <c r="T67">
        <f t="shared" si="7"/>
        <v>5.4811998191445249E-2</v>
      </c>
    </row>
    <row r="68" spans="17:20" x14ac:dyDescent="0.25">
      <c r="Q68">
        <v>88</v>
      </c>
      <c r="R68" s="4">
        <f t="shared" si="5"/>
        <v>5.216011193752601E-2</v>
      </c>
      <c r="S68" s="20">
        <f t="shared" si="6"/>
        <v>0.94783988806247399</v>
      </c>
      <c r="T68">
        <f t="shared" si="7"/>
        <v>5.1925024489593713E-2</v>
      </c>
    </row>
    <row r="69" spans="17:20" x14ac:dyDescent="0.25">
      <c r="Q69">
        <v>89</v>
      </c>
      <c r="R69" s="4">
        <f t="shared" si="5"/>
        <v>4.9410029746001172E-2</v>
      </c>
      <c r="S69" s="20">
        <f t="shared" si="6"/>
        <v>0.95058997025399883</v>
      </c>
      <c r="T69">
        <f t="shared" si="7"/>
        <v>4.9197463666716519E-2</v>
      </c>
    </row>
    <row r="70" spans="17:20" x14ac:dyDescent="0.25">
      <c r="Q70">
        <v>90</v>
      </c>
      <c r="R70" s="4">
        <f t="shared" si="5"/>
        <v>4.6812253154774441E-2</v>
      </c>
      <c r="S70" s="20">
        <f t="shared" si="6"/>
        <v>0.95318774684522556</v>
      </c>
      <c r="T70">
        <f t="shared" si="7"/>
        <v>4.6619996220076225E-2</v>
      </c>
    </row>
    <row r="71" spans="17:20" x14ac:dyDescent="0.25">
      <c r="Q71">
        <v>91</v>
      </c>
      <c r="R71" s="4">
        <f t="shared" ref="R71:R134" si="8">IF(Q71&lt;=$O$10,1,1-_xlfn.WEIBULL.DIST(Q71-$O$10,$O$7,$O$8,1))</f>
        <v>4.4357823355244075E-2</v>
      </c>
      <c r="S71" s="20">
        <f t="shared" ref="S71:S134" si="9">1-R71</f>
        <v>0.95564217664475593</v>
      </c>
      <c r="T71">
        <f t="shared" ref="T71:T134" si="10" xml:space="preserve"> $O$8/$O$7*GAMMADIST((R71/$O$8)^$O$7,1/$O$7,1,1)*_xlfn.GAMMA(1/$O$7)</f>
        <v>4.4183886824681336E-2</v>
      </c>
    </row>
    <row r="72" spans="17:20" x14ac:dyDescent="0.25">
      <c r="Q72">
        <v>92</v>
      </c>
      <c r="R72" s="4">
        <f t="shared" si="8"/>
        <v>4.203834912794302E-2</v>
      </c>
      <c r="S72" s="20">
        <f t="shared" si="9"/>
        <v>0.95796165087205698</v>
      </c>
      <c r="T72">
        <f t="shared" si="10"/>
        <v>4.1880944442771545E-2</v>
      </c>
    </row>
    <row r="73" spans="17:20" x14ac:dyDescent="0.25">
      <c r="Q73">
        <v>93</v>
      </c>
      <c r="R73" s="4">
        <f t="shared" si="8"/>
        <v>3.9845967457134868E-2</v>
      </c>
      <c r="S73" s="20">
        <f t="shared" si="9"/>
        <v>0.96015403254286513</v>
      </c>
      <c r="T73">
        <f t="shared" si="10"/>
        <v>3.9703485456542752E-2</v>
      </c>
    </row>
    <row r="74" spans="17:20" x14ac:dyDescent="0.25">
      <c r="Q74">
        <v>94</v>
      </c>
      <c r="R74" s="4">
        <f t="shared" si="8"/>
        <v>3.7773307192805805E-2</v>
      </c>
      <c r="S74" s="20">
        <f t="shared" si="9"/>
        <v>0.96222669280719419</v>
      </c>
      <c r="T74">
        <f t="shared" si="10"/>
        <v>3.764429956486802E-2</v>
      </c>
    </row>
    <row r="75" spans="17:20" x14ac:dyDescent="0.25">
      <c r="Q75">
        <v>95</v>
      </c>
      <c r="R75" s="4">
        <f t="shared" si="8"/>
        <v>3.5813455492949786E-2</v>
      </c>
      <c r="S75" s="20">
        <f t="shared" si="9"/>
        <v>0.96418654450705021</v>
      </c>
      <c r="T75">
        <f t="shared" si="10"/>
        <v>3.5696618210309658E-2</v>
      </c>
    </row>
    <row r="76" spans="17:20" x14ac:dyDescent="0.25">
      <c r="Q76">
        <v>96</v>
      </c>
      <c r="R76" s="4">
        <f t="shared" si="8"/>
        <v>3.395992680582105E-2</v>
      </c>
      <c r="S76" s="20">
        <f t="shared" si="9"/>
        <v>0.96604007319417895</v>
      </c>
      <c r="T76">
        <f t="shared" si="10"/>
        <v>3.3854085325349434E-2</v>
      </c>
    </row>
    <row r="77" spans="17:20" x14ac:dyDescent="0.25">
      <c r="Q77">
        <v>97</v>
      </c>
      <c r="R77" s="4">
        <f t="shared" si="8"/>
        <v>3.2206634175532711E-2</v>
      </c>
      <c r="S77" s="20">
        <f t="shared" si="9"/>
        <v>0.96779336582446729</v>
      </c>
      <c r="T77">
        <f t="shared" si="10"/>
        <v>3.2110730206866882E-2</v>
      </c>
    </row>
    <row r="78" spans="17:20" x14ac:dyDescent="0.25">
      <c r="Q78">
        <v>98</v>
      </c>
      <c r="R78" s="4">
        <f t="shared" si="8"/>
        <v>3.0547862675411652E-2</v>
      </c>
      <c r="S78" s="20">
        <f t="shared" si="9"/>
        <v>0.96945213732458835</v>
      </c>
      <c r="T78">
        <f t="shared" si="10"/>
        <v>3.0460942345796445E-2</v>
      </c>
    </row>
    <row r="79" spans="17:20" x14ac:dyDescent="0.25">
      <c r="Q79">
        <v>99</v>
      </c>
      <c r="R79" s="4">
        <f t="shared" si="8"/>
        <v>2.8978244792222219E-2</v>
      </c>
      <c r="S79" s="20">
        <f t="shared" si="9"/>
        <v>0.97102175520777778</v>
      </c>
      <c r="T79">
        <f t="shared" si="10"/>
        <v>2.8899448054868406E-2</v>
      </c>
    </row>
    <row r="80" spans="17:20" x14ac:dyDescent="0.25">
      <c r="Q80">
        <v>100</v>
      </c>
      <c r="R80" s="4">
        <f t="shared" si="8"/>
        <v>2.749273760103621E-2</v>
      </c>
      <c r="S80" s="20">
        <f t="shared" si="9"/>
        <v>0.97250726239896379</v>
      </c>
      <c r="T80">
        <f t="shared" si="10"/>
        <v>2.7421288751624952E-2</v>
      </c>
    </row>
    <row r="81" spans="17:20" x14ac:dyDescent="0.25">
      <c r="Q81">
        <v>101</v>
      </c>
      <c r="R81" s="4">
        <f t="shared" si="8"/>
        <v>2.6086601585404323E-2</v>
      </c>
      <c r="S81" s="20">
        <f t="shared" si="9"/>
        <v>0.97391339841459568</v>
      </c>
      <c r="T81">
        <f t="shared" si="10"/>
        <v>2.6021800766702068E-2</v>
      </c>
    </row>
    <row r="82" spans="17:20" x14ac:dyDescent="0.25">
      <c r="Q82">
        <v>102</v>
      </c>
      <c r="R82" s="4">
        <f t="shared" si="8"/>
        <v>2.4755380970797658E-2</v>
      </c>
      <c r="S82" s="20">
        <f t="shared" si="9"/>
        <v>0.97524461902920234</v>
      </c>
      <c r="T82">
        <f t="shared" si="10"/>
        <v>2.4696596558865604E-2</v>
      </c>
    </row>
    <row r="83" spans="17:20" x14ac:dyDescent="0.25">
      <c r="Q83">
        <v>103</v>
      </c>
      <c r="R83" s="4">
        <f t="shared" si="8"/>
        <v>2.3494885451212477E-2</v>
      </c>
      <c r="S83" s="20">
        <f t="shared" si="9"/>
        <v>0.97650511454878752</v>
      </c>
      <c r="T83">
        <f t="shared" si="10"/>
        <v>2.344154722862269E-2</v>
      </c>
    </row>
    <row r="84" spans="17:20" x14ac:dyDescent="0.25">
      <c r="Q84">
        <v>104</v>
      </c>
      <c r="R84" s="4">
        <f t="shared" si="8"/>
        <v>2.2301173199545166E-2</v>
      </c>
      <c r="S84" s="20">
        <f t="shared" si="9"/>
        <v>0.97769882680045483</v>
      </c>
      <c r="T84">
        <f t="shared" si="10"/>
        <v>2.2252766231549852E-2</v>
      </c>
    </row>
    <row r="85" spans="17:20" x14ac:dyDescent="0.25">
      <c r="Q85">
        <v>105</v>
      </c>
      <c r="R85" s="4">
        <f t="shared" si="8"/>
        <v>2.1170535061970308E-2</v>
      </c>
      <c r="S85" s="20">
        <f t="shared" si="9"/>
        <v>0.97882946493802969</v>
      </c>
      <c r="T85">
        <f t="shared" si="10"/>
        <v>2.1126594200882795E-2</v>
      </c>
    </row>
    <row r="86" spans="17:20" x14ac:dyDescent="0.25">
      <c r="Q86">
        <v>106</v>
      </c>
      <c r="R86" s="4">
        <f t="shared" si="8"/>
        <v>2.0099479845233081E-2</v>
      </c>
      <c r="S86" s="20">
        <f t="shared" si="9"/>
        <v>0.97990052015476692</v>
      </c>
      <c r="T86">
        <f t="shared" si="10"/>
        <v>2.0059584796514488E-2</v>
      </c>
    </row>
    <row r="87" spans="17:20" x14ac:dyDescent="0.25">
      <c r="Q87">
        <v>107</v>
      </c>
      <c r="R87" s="4">
        <f t="shared" si="8"/>
        <v>1.9084720613589345E-2</v>
      </c>
      <c r="S87" s="20">
        <f t="shared" si="9"/>
        <v>0.98091527938641065</v>
      </c>
      <c r="T87">
        <f t="shared" si="10"/>
        <v>1.9048491504428132E-2</v>
      </c>
    </row>
    <row r="88" spans="17:20" x14ac:dyDescent="0.25">
      <c r="Q88">
        <v>108</v>
      </c>
      <c r="R88" s="4">
        <f t="shared" si="8"/>
        <v>1.8123161919199604E-2</v>
      </c>
      <c r="S88" s="20">
        <f t="shared" si="9"/>
        <v>0.9818768380808004</v>
      </c>
      <c r="T88">
        <f t="shared" si="10"/>
        <v>1.8090255316831113E-2</v>
      </c>
    </row>
    <row r="89" spans="17:20" x14ac:dyDescent="0.25">
      <c r="Q89">
        <v>109</v>
      </c>
      <c r="R89" s="4">
        <f t="shared" si="8"/>
        <v>1.7211887896174671E-2</v>
      </c>
      <c r="S89" s="20">
        <f t="shared" si="9"/>
        <v>0.98278811210382533</v>
      </c>
      <c r="T89">
        <f t="shared" si="10"/>
        <v>1.7181993228916323E-2</v>
      </c>
    </row>
    <row r="90" spans="17:20" x14ac:dyDescent="0.25">
      <c r="Q90">
        <v>110</v>
      </c>
      <c r="R90" s="4">
        <f t="shared" si="8"/>
        <v>1.6348151154270685E-2</v>
      </c>
      <c r="S90" s="20">
        <f t="shared" si="9"/>
        <v>0.98365184884572932</v>
      </c>
      <c r="T90">
        <f t="shared" si="10"/>
        <v>1.6320987493330493E-2</v>
      </c>
    </row>
    <row r="91" spans="17:20" x14ac:dyDescent="0.25">
      <c r="Q91">
        <v>111</v>
      </c>
      <c r="R91" s="4">
        <f t="shared" si="8"/>
        <v>1.552936241348335E-2</v>
      </c>
      <c r="S91" s="20">
        <f t="shared" si="9"/>
        <v>0.98447063758651665</v>
      </c>
      <c r="T91">
        <f t="shared" si="10"/>
        <v>1.5504675578112298E-2</v>
      </c>
    </row>
    <row r="92" spans="17:20" x14ac:dyDescent="0.25">
      <c r="Q92">
        <v>112</v>
      </c>
      <c r="R92" s="4">
        <f t="shared" si="8"/>
        <v>1.4753080825569143E-2</v>
      </c>
      <c r="S92" s="20">
        <f t="shared" si="9"/>
        <v>0.98524691917443086</v>
      </c>
      <c r="T92">
        <f t="shared" si="10"/>
        <v>1.473064077813711E-2</v>
      </c>
    </row>
    <row r="93" spans="17:20" x14ac:dyDescent="0.25">
      <c r="Q93">
        <v>113</v>
      </c>
      <c r="R93" s="4">
        <f t="shared" si="8"/>
        <v>1.4017004932859956E-2</v>
      </c>
      <c r="S93" s="20">
        <f t="shared" si="9"/>
        <v>0.98598299506714004</v>
      </c>
      <c r="T93">
        <f t="shared" si="10"/>
        <v>1.3996603433998814E-2</v>
      </c>
    </row>
    <row r="94" spans="17:20" x14ac:dyDescent="0.25">
      <c r="Q94">
        <v>114</v>
      </c>
      <c r="R94" s="4">
        <f t="shared" si="8"/>
        <v>1.3318964218694052E-2</v>
      </c>
      <c r="S94" s="20">
        <f t="shared" si="9"/>
        <v>0.98668103578130595</v>
      </c>
      <c r="T94">
        <f t="shared" si="10"/>
        <v>1.3300412715822746E-2</v>
      </c>
    </row>
    <row r="95" spans="17:20" x14ac:dyDescent="0.25">
      <c r="Q95">
        <v>115</v>
      </c>
      <c r="R95" s="4">
        <f t="shared" si="8"/>
        <v>1.2656911207386989E-2</v>
      </c>
      <c r="S95" s="20">
        <f t="shared" si="9"/>
        <v>0.98734308879261301</v>
      </c>
      <c r="T95">
        <f t="shared" si="10"/>
        <v>1.2640038932755341E-2</v>
      </c>
    </row>
    <row r="96" spans="17:20" x14ac:dyDescent="0.25">
      <c r="Q96">
        <v>116</v>
      </c>
      <c r="R96" s="4">
        <f t="shared" si="8"/>
        <v>1.2028914074955765E-2</v>
      </c>
      <c r="S96" s="20">
        <f t="shared" si="9"/>
        <v>0.98797108592504423</v>
      </c>
      <c r="T96">
        <f t="shared" si="10"/>
        <v>1.2013566331857687E-2</v>
      </c>
    </row>
    <row r="97" spans="17:20" x14ac:dyDescent="0.25">
      <c r="Q97">
        <v>117</v>
      </c>
      <c r="R97" s="4">
        <f t="shared" si="8"/>
        <v>1.1433149734811576E-2</v>
      </c>
      <c r="S97" s="20">
        <f t="shared" si="9"/>
        <v>0.98856685026518842</v>
      </c>
      <c r="T97">
        <f t="shared" si="10"/>
        <v>1.1419186352858306E-2</v>
      </c>
    </row>
    <row r="98" spans="17:20" x14ac:dyDescent="0.25">
      <c r="Q98">
        <v>118</v>
      </c>
      <c r="R98" s="4">
        <f t="shared" si="8"/>
        <v>1.086789736538285E-2</v>
      </c>
      <c r="S98" s="20">
        <f t="shared" si="9"/>
        <v>0.98913210263461715</v>
      </c>
      <c r="T98">
        <f t="shared" si="10"/>
        <v>1.0855191307724072E-2</v>
      </c>
    </row>
    <row r="99" spans="17:20" x14ac:dyDescent="0.25">
      <c r="Q99">
        <v>119</v>
      </c>
      <c r="R99" s="4">
        <f t="shared" si="8"/>
        <v>1.0331532349144634E-2</v>
      </c>
      <c r="S99" s="20">
        <f t="shared" si="9"/>
        <v>0.98966846765085537</v>
      </c>
      <c r="T99">
        <f t="shared" si="10"/>
        <v>1.031996845630735E-2</v>
      </c>
    </row>
    <row r="100" spans="17:20" x14ac:dyDescent="0.25">
      <c r="Q100">
        <v>120</v>
      </c>
      <c r="R100" s="4">
        <f t="shared" si="8"/>
        <v>9.8225205948301308E-3</v>
      </c>
      <c r="S100" s="20">
        <f t="shared" si="9"/>
        <v>0.99017747940516987</v>
      </c>
      <c r="T100">
        <f t="shared" si="10"/>
        <v>9.8119944514352929E-3</v>
      </c>
    </row>
    <row r="101" spans="17:20" x14ac:dyDescent="0.25">
      <c r="Q101">
        <v>121</v>
      </c>
      <c r="R101" s="4">
        <f t="shared" si="8"/>
        <v>9.3394132167151644E-3</v>
      </c>
      <c r="S101" s="20">
        <f t="shared" si="9"/>
        <v>0.99066058678328484</v>
      </c>
      <c r="T101">
        <f t="shared" si="10"/>
        <v>9.3298301287526014E-3</v>
      </c>
    </row>
    <row r="102" spans="17:20" x14ac:dyDescent="0.25">
      <c r="Q102">
        <v>122</v>
      </c>
      <c r="R102" s="4">
        <f t="shared" si="8"/>
        <v>8.8808415468002444E-3</v>
      </c>
      <c r="S102" s="20">
        <f t="shared" si="9"/>
        <v>0.99111915845319976</v>
      </c>
      <c r="T102">
        <f t="shared" si="10"/>
        <v>8.8721156184112041E-3</v>
      </c>
    </row>
    <row r="103" spans="17:20" x14ac:dyDescent="0.25">
      <c r="Q103">
        <v>123</v>
      </c>
      <c r="R103" s="4">
        <f t="shared" si="8"/>
        <v>8.4455124574956963E-3</v>
      </c>
      <c r="S103" s="20">
        <f t="shared" si="9"/>
        <v>0.9915544875425043</v>
      </c>
      <c r="T103">
        <f t="shared" si="10"/>
        <v>8.4375657573468495E-3</v>
      </c>
    </row>
    <row r="104" spans="17:20" x14ac:dyDescent="0.25">
      <c r="Q104">
        <v>124</v>
      </c>
      <c r="R104" s="4">
        <f t="shared" si="8"/>
        <v>8.0322039740534645E-3</v>
      </c>
      <c r="S104" s="20">
        <f t="shared" si="9"/>
        <v>0.99196779602594654</v>
      </c>
      <c r="T104">
        <f t="shared" si="10"/>
        <v>8.0249657824003374E-3</v>
      </c>
    </row>
    <row r="105" spans="17:20" x14ac:dyDescent="0.25">
      <c r="Q105">
        <v>125</v>
      </c>
      <c r="R105" s="4">
        <f t="shared" si="8"/>
        <v>7.6397611574899882E-3</v>
      </c>
      <c r="S105" s="20">
        <f t="shared" si="9"/>
        <v>0.99236023884251001</v>
      </c>
      <c r="T105">
        <f t="shared" si="10"/>
        <v>7.6331672859357514E-3</v>
      </c>
    </row>
    <row r="106" spans="17:20" x14ac:dyDescent="0.25">
      <c r="Q106">
        <v>126</v>
      </c>
      <c r="R106" s="4">
        <f t="shared" si="8"/>
        <v>7.2670922401339988E-3</v>
      </c>
      <c r="S106" s="20">
        <f t="shared" si="9"/>
        <v>0.992732907759866</v>
      </c>
      <c r="T106">
        <f t="shared" si="10"/>
        <v>7.2610844169018326E-3</v>
      </c>
    </row>
    <row r="107" spans="17:20" x14ac:dyDescent="0.25">
      <c r="Q107">
        <v>127</v>
      </c>
      <c r="R107" s="4">
        <f t="shared" si="8"/>
        <v>6.9131649972077325E-3</v>
      </c>
      <c r="S107" s="20">
        <f t="shared" si="9"/>
        <v>0.99308683500279227</v>
      </c>
      <c r="T107">
        <f t="shared" si="10"/>
        <v>6.9076903114725094E-3</v>
      </c>
    </row>
    <row r="108" spans="17:20" x14ac:dyDescent="0.25">
      <c r="Q108">
        <v>128</v>
      </c>
      <c r="R108" s="4">
        <f t="shared" si="8"/>
        <v>6.5770033390281091E-3</v>
      </c>
      <c r="S108" s="20">
        <f t="shared" si="9"/>
        <v>0.99342299666097189</v>
      </c>
      <c r="T108">
        <f t="shared" si="10"/>
        <v>6.5720137385049142E-3</v>
      </c>
    </row>
    <row r="109" spans="17:20" x14ac:dyDescent="0.25">
      <c r="Q109">
        <v>129</v>
      </c>
      <c r="R109" s="4">
        <f t="shared" si="8"/>
        <v>6.2576841095001168E-3</v>
      </c>
      <c r="S109" s="20">
        <f t="shared" si="9"/>
        <v>0.99374231589049988</v>
      </c>
      <c r="T109">
        <f t="shared" si="10"/>
        <v>6.2531359460713878E-3</v>
      </c>
    </row>
    <row r="110" spans="17:20" x14ac:dyDescent="0.25">
      <c r="Q110">
        <v>130</v>
      </c>
      <c r="R110" s="4">
        <f t="shared" si="8"/>
        <v>5.9543340775786158E-3</v>
      </c>
      <c r="S110" s="20">
        <f t="shared" si="9"/>
        <v>0.99404566592242138</v>
      </c>
      <c r="T110">
        <f t="shared" si="10"/>
        <v>5.9501876962653215E-3</v>
      </c>
    </row>
    <row r="111" spans="17:20" x14ac:dyDescent="0.25">
      <c r="Q111">
        <v>131</v>
      </c>
      <c r="R111" s="4">
        <f t="shared" si="8"/>
        <v>5.6661271092992571E-3</v>
      </c>
      <c r="S111" s="20">
        <f t="shared" si="9"/>
        <v>0.99433387289070074</v>
      </c>
      <c r="T111">
        <f t="shared" si="10"/>
        <v>5.6623464763514188E-3</v>
      </c>
    </row>
    <row r="112" spans="17:20" x14ac:dyDescent="0.25">
      <c r="Q112">
        <v>132</v>
      </c>
      <c r="R112" s="4">
        <f t="shared" si="8"/>
        <v>5.3922815088386367E-3</v>
      </c>
      <c r="S112" s="20">
        <f t="shared" si="9"/>
        <v>0.99460771849116136</v>
      </c>
      <c r="T112">
        <f t="shared" si="10"/>
        <v>5.3888338751419589E-3</v>
      </c>
    </row>
    <row r="113" spans="17:20" x14ac:dyDescent="0.25">
      <c r="Q113">
        <v>133</v>
      </c>
      <c r="R113" s="4">
        <f t="shared" si="8"/>
        <v>5.1320575178538386E-3</v>
      </c>
      <c r="S113" s="20">
        <f t="shared" si="9"/>
        <v>0.99486794248214616</v>
      </c>
      <c r="T113">
        <f t="shared" si="10"/>
        <v>5.1289131142277207E-3</v>
      </c>
    </row>
    <row r="114" spans="17:20" x14ac:dyDescent="0.25">
      <c r="Q114">
        <v>134</v>
      </c>
      <c r="R114" s="4">
        <f t="shared" si="8"/>
        <v>4.8847549630868237E-3</v>
      </c>
      <c r="S114" s="20">
        <f t="shared" si="9"/>
        <v>0.99511524503691318</v>
      </c>
      <c r="T114">
        <f t="shared" si="10"/>
        <v>4.8818867243886907E-3</v>
      </c>
    </row>
    <row r="115" spans="17:20" x14ac:dyDescent="0.25">
      <c r="Q115">
        <v>135</v>
      </c>
      <c r="R115" s="4">
        <f t="shared" si="8"/>
        <v>4.649711042896687E-3</v>
      </c>
      <c r="S115" s="20">
        <f t="shared" si="9"/>
        <v>0.99535028895710331</v>
      </c>
      <c r="T115">
        <f t="shared" si="10"/>
        <v>4.6470943581529483E-3</v>
      </c>
    </row>
    <row r="116" spans="17:20" x14ac:dyDescent="0.25">
      <c r="Q116">
        <v>136</v>
      </c>
      <c r="R116" s="4">
        <f t="shared" si="8"/>
        <v>4.426298244014748E-3</v>
      </c>
      <c r="S116" s="20">
        <f t="shared" si="9"/>
        <v>0.99557370175598525</v>
      </c>
      <c r="T116">
        <f t="shared" si="10"/>
        <v>4.4239107300727649E-3</v>
      </c>
    </row>
    <row r="117" spans="17:20" x14ac:dyDescent="0.25">
      <c r="Q117">
        <v>137</v>
      </c>
      <c r="R117" s="4">
        <f t="shared" si="8"/>
        <v>4.2139223803987491E-3</v>
      </c>
      <c r="S117" s="20">
        <f t="shared" si="9"/>
        <v>0.99578607761960125</v>
      </c>
      <c r="T117">
        <f t="shared" si="10"/>
        <v>4.2117436768410108E-3</v>
      </c>
    </row>
    <row r="118" spans="17:20" x14ac:dyDescent="0.25">
      <c r="Q118">
        <v>138</v>
      </c>
      <c r="R118" s="4">
        <f t="shared" si="8"/>
        <v>4.0120207466056712E-3</v>
      </c>
      <c r="S118" s="20">
        <f t="shared" si="9"/>
        <v>0.99598797925339433</v>
      </c>
      <c r="T118">
        <f t="shared" si="10"/>
        <v>4.0100323298888716E-3</v>
      </c>
    </row>
    <row r="119" spans="17:20" x14ac:dyDescent="0.25">
      <c r="Q119">
        <v>139</v>
      </c>
      <c r="R119" s="4">
        <f t="shared" si="8"/>
        <v>3.8200603786043841E-3</v>
      </c>
      <c r="S119" s="20">
        <f t="shared" si="9"/>
        <v>0.99617993962139562</v>
      </c>
      <c r="T119">
        <f t="shared" si="10"/>
        <v>3.8182453935856234E-3</v>
      </c>
    </row>
    <row r="120" spans="17:20" x14ac:dyDescent="0.25">
      <c r="Q120">
        <v>140</v>
      </c>
      <c r="R120" s="4">
        <f t="shared" si="8"/>
        <v>3.6375364154166423E-3</v>
      </c>
      <c r="S120" s="20">
        <f t="shared" si="9"/>
        <v>0.99636246358458336</v>
      </c>
      <c r="T120">
        <f t="shared" si="10"/>
        <v>3.6358795226083622E-3</v>
      </c>
    </row>
    <row r="121" spans="17:20" x14ac:dyDescent="0.25">
      <c r="Q121">
        <v>141</v>
      </c>
      <c r="R121" s="4">
        <f t="shared" si="8"/>
        <v>3.4639705554087019E-3</v>
      </c>
      <c r="S121" s="20">
        <f t="shared" si="9"/>
        <v>0.9965360294445913</v>
      </c>
      <c r="T121">
        <f t="shared" si="10"/>
        <v>3.4624577924656048E-3</v>
      </c>
    </row>
    <row r="122" spans="17:20" x14ac:dyDescent="0.25">
      <c r="Q122">
        <v>142</v>
      </c>
      <c r="R122" s="4">
        <f t="shared" si="8"/>
        <v>3.2989096014583996E-3</v>
      </c>
      <c r="S122" s="20">
        <f t="shared" si="9"/>
        <v>0.9967010903985416</v>
      </c>
      <c r="T122">
        <f t="shared" si="10"/>
        <v>3.2975282575448341E-3</v>
      </c>
    </row>
    <row r="123" spans="17:20" x14ac:dyDescent="0.25">
      <c r="Q123">
        <v>143</v>
      </c>
      <c r="R123" s="4">
        <f t="shared" si="8"/>
        <v>3.1419240895966816E-3</v>
      </c>
      <c r="S123" s="20">
        <f t="shared" si="9"/>
        <v>0.99685807591040332</v>
      </c>
      <c r="T123">
        <f t="shared" si="10"/>
        <v>3.1406625914141492E-3</v>
      </c>
    </row>
    <row r="124" spans="17:20" x14ac:dyDescent="0.25">
      <c r="Q124">
        <v>144</v>
      </c>
      <c r="R124" s="4">
        <f t="shared" si="8"/>
        <v>2.9926069960755086E-3</v>
      </c>
      <c r="S124" s="20">
        <f t="shared" si="9"/>
        <v>0.99700739300392449</v>
      </c>
      <c r="T124">
        <f t="shared" si="10"/>
        <v>2.9914548044478058E-3</v>
      </c>
    </row>
    <row r="125" spans="17:20" x14ac:dyDescent="0.25">
      <c r="Q125">
        <v>145</v>
      </c>
      <c r="R125" s="4">
        <f t="shared" si="8"/>
        <v>2.8505725181318109E-3</v>
      </c>
      <c r="S125" s="20">
        <f t="shared" si="9"/>
        <v>0.99714942748186819</v>
      </c>
      <c r="T125">
        <f t="shared" si="10"/>
        <v>2.8495200341517365E-3</v>
      </c>
    </row>
    <row r="126" spans="17:20" x14ac:dyDescent="0.25">
      <c r="Q126">
        <v>146</v>
      </c>
      <c r="R126" s="4">
        <f t="shared" si="8"/>
        <v>2.7154549240264725E-3</v>
      </c>
      <c r="S126" s="20">
        <f t="shared" si="9"/>
        <v>0.99728454507597353</v>
      </c>
      <c r="T126">
        <f t="shared" si="10"/>
        <v>2.7144934038638587E-3</v>
      </c>
    </row>
    <row r="127" spans="17:20" x14ac:dyDescent="0.25">
      <c r="Q127">
        <v>147</v>
      </c>
      <c r="R127" s="4">
        <f t="shared" si="8"/>
        <v>2.5869074682139948E-3</v>
      </c>
      <c r="S127" s="20">
        <f t="shared" si="9"/>
        <v>0.99741309253178601</v>
      </c>
      <c r="T127">
        <f t="shared" si="10"/>
        <v>2.5860289457712128E-3</v>
      </c>
    </row>
    <row r="128" spans="17:20" x14ac:dyDescent="0.25">
      <c r="Q128">
        <v>148</v>
      </c>
      <c r="R128" s="4">
        <f t="shared" si="8"/>
        <v>2.4646013677641632E-3</v>
      </c>
      <c r="S128" s="20">
        <f t="shared" si="9"/>
        <v>0.99753539863223584</v>
      </c>
      <c r="T128">
        <f t="shared" si="10"/>
        <v>2.4637985844433714E-3</v>
      </c>
    </row>
    <row r="129" spans="17:20" x14ac:dyDescent="0.25">
      <c r="Q129">
        <v>149</v>
      </c>
      <c r="R129" s="4">
        <f t="shared" si="8"/>
        <v>2.3482248364001812E-3</v>
      </c>
      <c r="S129" s="20">
        <f t="shared" si="9"/>
        <v>0.99765177516359982</v>
      </c>
      <c r="T129">
        <f t="shared" si="10"/>
        <v>2.3474911773166481E-3</v>
      </c>
    </row>
    <row r="130" spans="17:20" x14ac:dyDescent="0.25">
      <c r="Q130">
        <v>150</v>
      </c>
      <c r="R130" s="4">
        <f t="shared" si="8"/>
        <v>2.2374821727449978E-3</v>
      </c>
      <c r="S130" s="20">
        <f t="shared" si="9"/>
        <v>0.997762517827255</v>
      </c>
      <c r="T130">
        <f t="shared" si="10"/>
        <v>2.2368116087845766E-3</v>
      </c>
    </row>
    <row r="131" spans="17:20" x14ac:dyDescent="0.25">
      <c r="Q131">
        <v>151</v>
      </c>
      <c r="R131" s="4">
        <f t="shared" si="8"/>
        <v>2.1320928995854915E-3</v>
      </c>
      <c r="S131" s="20">
        <f t="shared" si="9"/>
        <v>0.99786790710041451</v>
      </c>
      <c r="T131">
        <f t="shared" si="10"/>
        <v>2.131479934761414E-3</v>
      </c>
    </row>
    <row r="132" spans="17:20" x14ac:dyDescent="0.25">
      <c r="Q132">
        <v>152</v>
      </c>
      <c r="R132" s="4">
        <f t="shared" si="8"/>
        <v>2.0317909511550214E-3</v>
      </c>
      <c r="S132" s="20">
        <f t="shared" si="9"/>
        <v>0.99796820904884498</v>
      </c>
      <c r="T132">
        <f t="shared" si="10"/>
        <v>2.0312305747710539E-3</v>
      </c>
    </row>
    <row r="133" spans="17:20" x14ac:dyDescent="0.25">
      <c r="Q133">
        <v>153</v>
      </c>
      <c r="R133" s="4">
        <f t="shared" si="8"/>
        <v>1.9363239056289228E-3</v>
      </c>
      <c r="S133" s="20">
        <f t="shared" si="9"/>
        <v>0.99806367609437108</v>
      </c>
      <c r="T133">
        <f t="shared" si="10"/>
        <v>1.9358115488025164E-3</v>
      </c>
    </row>
    <row r="134" spans="17:20" x14ac:dyDescent="0.25">
      <c r="Q134">
        <v>154</v>
      </c>
      <c r="R134" s="4">
        <f t="shared" si="8"/>
        <v>1.8454522601946133E-3</v>
      </c>
      <c r="S134" s="20">
        <f t="shared" si="9"/>
        <v>0.99815454773980539</v>
      </c>
      <c r="T134">
        <f t="shared" si="10"/>
        <v>1.8449837563359898E-3</v>
      </c>
    </row>
    <row r="135" spans="17:20" x14ac:dyDescent="0.25">
      <c r="Q135">
        <v>155</v>
      </c>
      <c r="R135" s="4">
        <f t="shared" ref="R135:R152" si="11">IF(Q135&lt;=$O$10,1,1-_xlfn.WEIBULL.DIST(Q135-$O$10,$O$7,$O$8,1))</f>
        <v>1.7589487462236209E-3</v>
      </c>
      <c r="S135" s="20">
        <f t="shared" ref="S135:S152" si="12">1-R135</f>
        <v>0.99824105125377638</v>
      </c>
      <c r="T135">
        <f t="shared" ref="T135:T152" si="13" xml:space="preserve"> $O$8/$O$7*GAMMADIST((R135/$O$8)^$O$7,1/$O$7,1,1)*_xlfn.GAMMA(1/$O$7)</f>
        <v>1.7585202951047858E-3</v>
      </c>
    </row>
    <row r="136" spans="17:20" x14ac:dyDescent="0.25">
      <c r="Q136">
        <v>156</v>
      </c>
      <c r="R136" s="4">
        <f t="shared" si="11"/>
        <v>1.6765976822228357E-3</v>
      </c>
      <c r="S136" s="20">
        <f t="shared" si="12"/>
        <v>0.99832340231777716</v>
      </c>
      <c r="T136">
        <f t="shared" si="13"/>
        <v>1.6762058173050661E-3</v>
      </c>
    </row>
    <row r="137" spans="17:20" x14ac:dyDescent="0.25">
      <c r="Q137">
        <v>157</v>
      </c>
      <c r="R137" s="4">
        <f t="shared" si="11"/>
        <v>1.5981943623840644E-3</v>
      </c>
      <c r="S137" s="20">
        <f t="shared" si="12"/>
        <v>0.99840180563761594</v>
      </c>
      <c r="T137">
        <f t="shared" si="13"/>
        <v>1.5978359211034517E-3</v>
      </c>
    </row>
    <row r="138" spans="17:20" x14ac:dyDescent="0.25">
      <c r="Q138">
        <v>158</v>
      </c>
      <c r="R138" s="4">
        <f t="shared" si="11"/>
        <v>1.5235444786844132E-3</v>
      </c>
      <c r="S138" s="20">
        <f t="shared" si="12"/>
        <v>0.99847645552131559</v>
      </c>
      <c r="T138">
        <f t="shared" si="13"/>
        <v>1.5232165754233561E-3</v>
      </c>
    </row>
    <row r="139" spans="17:20" x14ac:dyDescent="0.25">
      <c r="Q139">
        <v>159</v>
      </c>
      <c r="R139" s="4">
        <f t="shared" si="11"/>
        <v>1.4524635746124837E-3</v>
      </c>
      <c r="S139" s="20">
        <f t="shared" si="12"/>
        <v>0.99854753642538752</v>
      </c>
      <c r="T139">
        <f t="shared" si="13"/>
        <v>1.4521635761103773E-3</v>
      </c>
    </row>
    <row r="140" spans="17:20" x14ac:dyDescent="0.25">
      <c r="Q140">
        <v>160</v>
      </c>
      <c r="R140" s="4">
        <f t="shared" si="11"/>
        <v>1.3847765287123837E-3</v>
      </c>
      <c r="S140" s="20">
        <f t="shared" si="12"/>
        <v>0.99861522347128762</v>
      </c>
      <c r="T140">
        <f t="shared" si="13"/>
        <v>1.3845020316918958E-3</v>
      </c>
    </row>
    <row r="141" spans="17:20" x14ac:dyDescent="0.25">
      <c r="Q141">
        <v>161</v>
      </c>
      <c r="R141" s="4">
        <f t="shared" si="11"/>
        <v>1.320317066246246E-3</v>
      </c>
      <c r="S141" s="20">
        <f t="shared" si="12"/>
        <v>0.99867968293375375</v>
      </c>
      <c r="T141">
        <f t="shared" si="13"/>
        <v>1.3200658770523717E-3</v>
      </c>
    </row>
    <row r="142" spans="17:20" x14ac:dyDescent="0.25">
      <c r="Q142">
        <v>162</v>
      </c>
      <c r="R142" s="4">
        <f t="shared" si="11"/>
        <v>1.2589272973773102E-3</v>
      </c>
      <c r="S142" s="20">
        <f t="shared" si="12"/>
        <v>0.99874107270262269</v>
      </c>
      <c r="T142">
        <f t="shared" si="13"/>
        <v>1.2586974134452913E-3</v>
      </c>
    </row>
    <row r="143" spans="17:20" x14ac:dyDescent="0.25">
      <c r="Q143">
        <v>163</v>
      </c>
      <c r="R143" s="4">
        <f t="shared" si="11"/>
        <v>1.2004572803705482E-3</v>
      </c>
      <c r="S143" s="20">
        <f t="shared" si="12"/>
        <v>0.99879954271962945</v>
      </c>
      <c r="T143">
        <f t="shared" si="13"/>
        <v>1.200246873355832E-3</v>
      </c>
    </row>
    <row r="144" spans="17:20" x14ac:dyDescent="0.25">
      <c r="Q144">
        <v>164</v>
      </c>
      <c r="R144" s="4">
        <f t="shared" si="11"/>
        <v>1.1447646083982965E-3</v>
      </c>
      <c r="S144" s="20">
        <f t="shared" si="12"/>
        <v>0.9988552353916017</v>
      </c>
      <c r="T144">
        <f t="shared" si="13"/>
        <v>1.1445720088171817E-3</v>
      </c>
    </row>
    <row r="145" spans="17:20" x14ac:dyDescent="0.25">
      <c r="Q145">
        <v>165</v>
      </c>
      <c r="R145" s="4">
        <f t="shared" si="11"/>
        <v>1.0917140186205154E-3</v>
      </c>
      <c r="S145" s="20">
        <f t="shared" si="12"/>
        <v>0.99890828598137948</v>
      </c>
      <c r="T145">
        <f t="shared" si="13"/>
        <v>1.0915377018641341E-3</v>
      </c>
    </row>
    <row r="146" spans="17:20" x14ac:dyDescent="0.25">
      <c r="Q146">
        <v>166</v>
      </c>
      <c r="R146" s="4">
        <f t="shared" si="11"/>
        <v>1.0411770222895633E-3</v>
      </c>
      <c r="S146" s="20">
        <f t="shared" si="12"/>
        <v>0.99895882297771044</v>
      </c>
      <c r="T146">
        <f t="shared" si="13"/>
        <v>1.0410155958865436E-3</v>
      </c>
    </row>
    <row r="147" spans="17:20" x14ac:dyDescent="0.25">
      <c r="Q147">
        <v>167</v>
      </c>
      <c r="R147" s="4">
        <f t="shared" si="11"/>
        <v>9.9303155470065185E-4</v>
      </c>
      <c r="S147" s="20">
        <f t="shared" si="12"/>
        <v>0.99900696844529935</v>
      </c>
      <c r="T147">
        <f t="shared" si="13"/>
        <v>9.9288374671528895E-4</v>
      </c>
    </row>
    <row r="148" spans="17:20" x14ac:dyDescent="0.25">
      <c r="Q148">
        <v>168</v>
      </c>
      <c r="R148" s="4">
        <f t="shared" si="11"/>
        <v>9.4716164388097823E-4</v>
      </c>
      <c r="S148" s="20">
        <f t="shared" si="12"/>
        <v>0.99905283835611902</v>
      </c>
      <c r="T148">
        <f t="shared" si="13"/>
        <v>9.4702629234421818E-4</v>
      </c>
    </row>
    <row r="149" spans="17:20" x14ac:dyDescent="0.25">
      <c r="Q149">
        <v>169</v>
      </c>
      <c r="R149" s="4">
        <f t="shared" si="11"/>
        <v>9.0345709697314813E-4</v>
      </c>
      <c r="S149" s="20">
        <f t="shared" si="12"/>
        <v>0.99909654290302685</v>
      </c>
      <c r="T149">
        <f t="shared" si="13"/>
        <v>9.0333314025304191E-4</v>
      </c>
    </row>
    <row r="150" spans="17:20" x14ac:dyDescent="0.25">
      <c r="Q150">
        <v>170</v>
      </c>
      <c r="R150" s="4">
        <f t="shared" si="11"/>
        <v>8.6181320332889833E-4</v>
      </c>
      <c r="S150" s="20">
        <f t="shared" si="12"/>
        <v>0.9991381867966711</v>
      </c>
      <c r="T150">
        <f t="shared" si="13"/>
        <v>8.6169967135580347E-4</v>
      </c>
    </row>
    <row r="151" spans="17:20" x14ac:dyDescent="0.25">
      <c r="Q151">
        <v>171</v>
      </c>
      <c r="R151" s="4">
        <f t="shared" si="11"/>
        <v>8.2213045338974666E-4</v>
      </c>
      <c r="S151" s="20">
        <f t="shared" si="12"/>
        <v>0.99917786954661025</v>
      </c>
      <c r="T151">
        <f t="shared" si="13"/>
        <v>8.2202645965933415E-4</v>
      </c>
    </row>
    <row r="152" spans="17:20" x14ac:dyDescent="0.25">
      <c r="Q152">
        <v>172</v>
      </c>
      <c r="R152" s="4">
        <f t="shared" si="11"/>
        <v>7.8431427247993568E-4</v>
      </c>
      <c r="S152" s="20">
        <f t="shared" si="12"/>
        <v>0.99921568572752006</v>
      </c>
      <c r="T152">
        <f t="shared" si="13"/>
        <v>7.8421900676401259E-4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50"/>
  <sheetViews>
    <sheetView tabSelected="1" topLeftCell="B1" workbookViewId="0">
      <selection activeCell="I7" sqref="I7:N29"/>
    </sheetView>
  </sheetViews>
  <sheetFormatPr baseColWidth="10" defaultRowHeight="15" x14ac:dyDescent="0.25"/>
  <cols>
    <col min="3" max="3" width="33.7109375" customWidth="1"/>
    <col min="4" max="4" width="16.7109375" bestFit="1" customWidth="1"/>
    <col min="5" max="5" width="16.140625" bestFit="1" customWidth="1"/>
    <col min="9" max="9" width="24" bestFit="1" customWidth="1"/>
    <col min="10" max="10" width="11.85546875" bestFit="1" customWidth="1"/>
  </cols>
  <sheetData>
    <row r="3" spans="2:14" ht="30" x14ac:dyDescent="0.25">
      <c r="B3" s="31" t="s">
        <v>2</v>
      </c>
      <c r="C3" s="32" t="s">
        <v>0</v>
      </c>
      <c r="D3" s="33" t="s">
        <v>40</v>
      </c>
      <c r="J3" s="34" t="s">
        <v>39</v>
      </c>
      <c r="K3" s="34" t="s">
        <v>38</v>
      </c>
    </row>
    <row r="4" spans="2:14" x14ac:dyDescent="0.25">
      <c r="B4" s="26">
        <v>1</v>
      </c>
      <c r="C4" s="26">
        <v>55</v>
      </c>
      <c r="D4" s="27">
        <f>WEIBULL(C4,$K$4,$J$4,0)</f>
        <v>2.8779266666411497E-2</v>
      </c>
      <c r="I4" s="22" t="s">
        <v>42</v>
      </c>
      <c r="J4" s="28">
        <v>58.27948886675653</v>
      </c>
      <c r="K4" s="28">
        <v>4.4351999442389687</v>
      </c>
      <c r="M4" t="s">
        <v>64</v>
      </c>
      <c r="N4">
        <f>J4*_xlfn.GAMMA(1+1/K4)</f>
        <v>53.139557350726015</v>
      </c>
    </row>
    <row r="5" spans="2:14" x14ac:dyDescent="0.25">
      <c r="B5" s="26">
        <v>2</v>
      </c>
      <c r="C5" s="26">
        <v>48</v>
      </c>
      <c r="D5" s="27">
        <f t="shared" ref="D5:D10" si="0">WEIBULL(C5,$K$4,$J$4,0)</f>
        <v>2.5599980257306809E-2</v>
      </c>
      <c r="I5" s="22" t="s">
        <v>43</v>
      </c>
      <c r="J5" s="28">
        <f>'Weibull 2 param'!O8</f>
        <v>58.997433403505354</v>
      </c>
      <c r="K5" s="28">
        <f>'Weibull 2 param'!O7</f>
        <v>3.4941056872547844</v>
      </c>
    </row>
    <row r="6" spans="2:14" x14ac:dyDescent="0.25">
      <c r="B6" s="26">
        <v>3</v>
      </c>
      <c r="C6" s="26">
        <v>65</v>
      </c>
      <c r="D6" s="27">
        <f t="shared" si="0"/>
        <v>2.1853503363862509E-2</v>
      </c>
      <c r="I6" s="22" t="s">
        <v>52</v>
      </c>
      <c r="J6" s="28">
        <f>'Metodo de los momentos'!I3</f>
        <v>58.217495271531938</v>
      </c>
      <c r="K6" s="28">
        <f>'Metodo de los momentos'!H3</f>
        <v>4.3167657045646362</v>
      </c>
    </row>
    <row r="7" spans="2:14" ht="15.75" thickBot="1" x14ac:dyDescent="0.3">
      <c r="B7" s="26">
        <v>4</v>
      </c>
      <c r="C7" s="26">
        <v>40</v>
      </c>
      <c r="D7" s="27">
        <f t="shared" si="0"/>
        <v>1.7301379318830579E-2</v>
      </c>
      <c r="M7" t="s">
        <v>67</v>
      </c>
    </row>
    <row r="8" spans="2:14" ht="15.75" thickBot="1" x14ac:dyDescent="0.3">
      <c r="B8" s="26">
        <v>5</v>
      </c>
      <c r="C8" s="26">
        <v>59</v>
      </c>
      <c r="D8" s="27">
        <f t="shared" si="0"/>
        <v>2.7612767655043845E-2</v>
      </c>
      <c r="I8" s="49">
        <v>32.328287090867725</v>
      </c>
      <c r="J8" s="4">
        <f>1-_xlfn.WEIBULL.DIST(I8,K4,J4,1)</f>
        <v>0.92935620517493722</v>
      </c>
      <c r="K8" s="20">
        <f>1-J8</f>
        <v>7.0643794825062778E-2</v>
      </c>
      <c r="L8">
        <f t="shared" ref="L8" si="1" xml:space="preserve"> $J$4/$K$4*GAMMADIST((I8/$J$4)^$K$4,1/$K$4,1,1)*_xlfn.GAMMA(1/$K$4)</f>
        <v>31.901165420250816</v>
      </c>
      <c r="M8" s="50">
        <f t="shared" ref="M8" si="2">($F$24*J8+$F$25*K8)/L8</f>
        <v>0.40204649654776375</v>
      </c>
    </row>
    <row r="9" spans="2:14" x14ac:dyDescent="0.25">
      <c r="B9" s="26">
        <v>6</v>
      </c>
      <c r="C9" s="26">
        <v>30</v>
      </c>
      <c r="D9" s="27">
        <f t="shared" si="0"/>
        <v>7.3767440467291424E-3</v>
      </c>
      <c r="I9" s="35" t="s">
        <v>10</v>
      </c>
      <c r="J9" s="35" t="s">
        <v>4</v>
      </c>
      <c r="K9" s="35" t="s">
        <v>59</v>
      </c>
      <c r="L9" s="35" t="s">
        <v>63</v>
      </c>
      <c r="M9" s="35" t="s">
        <v>65</v>
      </c>
      <c r="N9" s="35" t="s">
        <v>66</v>
      </c>
    </row>
    <row r="10" spans="2:14" x14ac:dyDescent="0.25">
      <c r="B10" s="26">
        <v>7</v>
      </c>
      <c r="C10" s="26">
        <v>74</v>
      </c>
      <c r="D10" s="27">
        <f t="shared" si="0"/>
        <v>9.6640769818701639E-3</v>
      </c>
      <c r="I10">
        <v>0</v>
      </c>
      <c r="J10" s="4">
        <f>1-_xlfn.WEIBULL.DIST(I10,$K$4,$J$4,1)</f>
        <v>1</v>
      </c>
      <c r="K10" s="20">
        <f>1-J10</f>
        <v>0</v>
      </c>
      <c r="L10">
        <f xml:space="preserve"> $J$4/$K$4*GAMMADIST((I10/$J$4)^$K$4,1/$K$4,1,1)*_xlfn.GAMMA(1/$K$4)</f>
        <v>0</v>
      </c>
      <c r="N10">
        <f>MIN(M10:M50)</f>
        <v>0.40232528670536422</v>
      </c>
    </row>
    <row r="11" spans="2:14" x14ac:dyDescent="0.25">
      <c r="I11">
        <v>3</v>
      </c>
      <c r="J11" s="4">
        <f t="shared" ref="J11:J50" si="3">1-_xlfn.WEIBULL.DIST(I11,$K$4,$J$4,1)</f>
        <v>0.9999980693103997</v>
      </c>
      <c r="K11" s="20">
        <f t="shared" ref="K11:K50" si="4">1-J11</f>
        <v>1.9306896003046248E-6</v>
      </c>
      <c r="L11">
        <f t="shared" ref="L11:L50" si="5" xml:space="preserve"> $J$4/$K$4*GAMMADIST((I11/$J$4)^$K$4,1/$K$4,1,1)*_xlfn.GAMMA(1/$K$4)</f>
        <v>2.9999989343407103</v>
      </c>
      <c r="M11">
        <f t="shared" ref="M11:M50" si="6">($F$24*J11+$F$25*K11)/L11</f>
        <v>3.3333602599367795</v>
      </c>
    </row>
    <row r="12" spans="2:14" x14ac:dyDescent="0.25">
      <c r="C12">
        <f>AVERAGE(C4:C10)</f>
        <v>53</v>
      </c>
      <c r="D12" s="23">
        <f>+PRODUCT(D4:D10)</f>
        <v>5.4834790046286691E-13</v>
      </c>
      <c r="I12">
        <v>6</v>
      </c>
      <c r="J12" s="4">
        <f t="shared" si="3"/>
        <v>0.9999582331207465</v>
      </c>
      <c r="K12" s="20">
        <f t="shared" si="4"/>
        <v>4.1766879253501976E-5</v>
      </c>
      <c r="L12">
        <f t="shared" si="5"/>
        <v>5.9999538924731821</v>
      </c>
      <c r="M12">
        <f t="shared" si="6"/>
        <v>1.6669579224128754</v>
      </c>
    </row>
    <row r="13" spans="2:14" x14ac:dyDescent="0.25">
      <c r="D13" s="6">
        <f>IFERROR(LN(D12),-100)</f>
        <v>-28.231866454538519</v>
      </c>
      <c r="E13" s="36" t="s">
        <v>41</v>
      </c>
      <c r="I13">
        <v>9</v>
      </c>
      <c r="J13" s="4">
        <f t="shared" si="3"/>
        <v>0.99974777608450038</v>
      </c>
      <c r="K13" s="20">
        <f t="shared" si="4"/>
        <v>2.5222391549961642E-4</v>
      </c>
      <c r="L13">
        <f t="shared" si="5"/>
        <v>8.9995823255967462</v>
      </c>
      <c r="M13">
        <f t="shared" si="6"/>
        <v>1.1122837254512512</v>
      </c>
    </row>
    <row r="14" spans="2:14" x14ac:dyDescent="0.25">
      <c r="E14" s="35" t="s">
        <v>57</v>
      </c>
      <c r="F14">
        <f>2*2-D13</f>
        <v>32.231866454538519</v>
      </c>
      <c r="I14">
        <v>12</v>
      </c>
      <c r="J14" s="4">
        <f t="shared" si="3"/>
        <v>0.9990968224787159</v>
      </c>
      <c r="K14" s="20">
        <f t="shared" si="4"/>
        <v>9.0317752128410422E-4</v>
      </c>
      <c r="L14">
        <f t="shared" si="5"/>
        <v>11.998005532326919</v>
      </c>
      <c r="M14">
        <f t="shared" si="6"/>
        <v>0.8364829532550595</v>
      </c>
    </row>
    <row r="15" spans="2:14" x14ac:dyDescent="0.25">
      <c r="I15">
        <v>15</v>
      </c>
      <c r="J15" s="4">
        <f t="shared" si="3"/>
        <v>0.99757195448702951</v>
      </c>
      <c r="K15" s="20">
        <f t="shared" si="4"/>
        <v>2.4280455129704892E-3</v>
      </c>
      <c r="L15">
        <f t="shared" si="5"/>
        <v>14.993295448718479</v>
      </c>
      <c r="M15">
        <f t="shared" si="6"/>
        <v>0.67344246333662749</v>
      </c>
    </row>
    <row r="16" spans="2:14" x14ac:dyDescent="0.25">
      <c r="B16" t="s">
        <v>11</v>
      </c>
      <c r="C16" t="s">
        <v>33</v>
      </c>
      <c r="I16">
        <v>18</v>
      </c>
      <c r="J16" s="4">
        <f t="shared" si="3"/>
        <v>0.99455767110983573</v>
      </c>
      <c r="K16" s="20">
        <f t="shared" si="4"/>
        <v>5.4423288901642719E-3</v>
      </c>
      <c r="L16">
        <f t="shared" si="5"/>
        <v>17.981954287596139</v>
      </c>
      <c r="M16">
        <f t="shared" si="6"/>
        <v>0.56821928207517935</v>
      </c>
    </row>
    <row r="17" spans="2:13" x14ac:dyDescent="0.25">
      <c r="B17" t="s">
        <v>36</v>
      </c>
      <c r="C17" t="s">
        <v>37</v>
      </c>
      <c r="I17">
        <v>21</v>
      </c>
      <c r="J17" s="4">
        <f t="shared" si="3"/>
        <v>0.98924659374399559</v>
      </c>
      <c r="K17" s="20">
        <f t="shared" si="4"/>
        <v>1.0753406256004405E-2</v>
      </c>
      <c r="L17">
        <f t="shared" si="5"/>
        <v>20.958351062241732</v>
      </c>
      <c r="M17">
        <f t="shared" si="6"/>
        <v>0.49766015557545279</v>
      </c>
    </row>
    <row r="18" spans="2:13" x14ac:dyDescent="0.25">
      <c r="B18" t="s">
        <v>13</v>
      </c>
      <c r="C18" t="s">
        <v>34</v>
      </c>
      <c r="I18">
        <v>24</v>
      </c>
      <c r="J18" s="4">
        <f t="shared" si="3"/>
        <v>0.98064203485107981</v>
      </c>
      <c r="K18" s="20">
        <f t="shared" si="4"/>
        <v>1.9357965148920186E-2</v>
      </c>
      <c r="L18">
        <f t="shared" si="5"/>
        <v>23.9141460920324</v>
      </c>
      <c r="M18">
        <f t="shared" si="6"/>
        <v>0.45054164026983773</v>
      </c>
    </row>
    <row r="19" spans="2:13" x14ac:dyDescent="0.25">
      <c r="B19" t="s">
        <v>15</v>
      </c>
      <c r="C19" t="s">
        <v>35</v>
      </c>
      <c r="I19">
        <v>27</v>
      </c>
      <c r="J19" s="4">
        <f t="shared" si="3"/>
        <v>0.9675785838013552</v>
      </c>
      <c r="K19" s="20">
        <f t="shared" si="4"/>
        <v>3.2421416198644804E-2</v>
      </c>
      <c r="L19">
        <f t="shared" si="5"/>
        <v>26.837748609752673</v>
      </c>
      <c r="M19">
        <f t="shared" si="6"/>
        <v>0.420931606902398</v>
      </c>
    </row>
    <row r="20" spans="2:13" x14ac:dyDescent="0.25">
      <c r="I20">
        <v>30</v>
      </c>
      <c r="J20" s="4">
        <f t="shared" si="3"/>
        <v>0.94876781932457432</v>
      </c>
      <c r="K20" s="20">
        <f t="shared" si="4"/>
        <v>5.1232180675425676E-2</v>
      </c>
      <c r="L20">
        <f t="shared" si="5"/>
        <v>29.713871926788283</v>
      </c>
      <c r="M20">
        <f t="shared" si="6"/>
        <v>0.40551050555461593</v>
      </c>
    </row>
    <row r="21" spans="2:13" x14ac:dyDescent="0.25">
      <c r="I21">
        <v>33</v>
      </c>
      <c r="J21" s="4">
        <f t="shared" si="3"/>
        <v>0.92287662312026575</v>
      </c>
      <c r="K21" s="20">
        <f t="shared" si="4"/>
        <v>7.7123376879734251E-2</v>
      </c>
      <c r="L21">
        <f t="shared" si="5"/>
        <v>32.523272853023258</v>
      </c>
      <c r="M21">
        <f t="shared" si="6"/>
        <v>0.40232528670536422</v>
      </c>
    </row>
    <row r="22" spans="2:13" x14ac:dyDescent="0.25">
      <c r="I22">
        <v>36</v>
      </c>
      <c r="J22" s="4">
        <f t="shared" si="3"/>
        <v>0.88864401279310801</v>
      </c>
      <c r="K22" s="20">
        <f t="shared" si="4"/>
        <v>0.11135598720689199</v>
      </c>
      <c r="L22">
        <f t="shared" si="5"/>
        <v>35.24278275932474</v>
      </c>
      <c r="M22">
        <f t="shared" si="6"/>
        <v>0.41013331969227917</v>
      </c>
    </row>
    <row r="23" spans="2:13" x14ac:dyDescent="0.25">
      <c r="I23">
        <v>39</v>
      </c>
      <c r="J23" s="4">
        <f t="shared" si="3"/>
        <v>0.84503794731600101</v>
      </c>
      <c r="K23" s="20">
        <f t="shared" si="4"/>
        <v>0.15496205268399899</v>
      </c>
      <c r="L23">
        <f t="shared" si="5"/>
        <v>37.845749575260477</v>
      </c>
      <c r="M23">
        <f t="shared" si="6"/>
        <v>0.42801324558646875</v>
      </c>
    </row>
    <row r="24" spans="2:13" x14ac:dyDescent="0.25">
      <c r="E24" t="s">
        <v>60</v>
      </c>
      <c r="F24">
        <v>10</v>
      </c>
      <c r="G24" t="s">
        <v>61</v>
      </c>
      <c r="I24">
        <v>42</v>
      </c>
      <c r="J24" s="4">
        <f t="shared" si="3"/>
        <v>0.7914453657084014</v>
      </c>
      <c r="K24" s="20">
        <f t="shared" si="4"/>
        <v>0.2085546342915986</v>
      </c>
      <c r="L24">
        <f t="shared" si="5"/>
        <v>40.303003078184297</v>
      </c>
      <c r="M24">
        <f t="shared" si="6"/>
        <v>0.45510716251296984</v>
      </c>
    </row>
    <row r="25" spans="2:13" x14ac:dyDescent="0.25">
      <c r="E25" t="s">
        <v>62</v>
      </c>
      <c r="F25">
        <v>50</v>
      </c>
      <c r="G25" t="s">
        <v>61</v>
      </c>
      <c r="I25">
        <v>45</v>
      </c>
      <c r="J25" s="4">
        <f t="shared" si="3"/>
        <v>0.72787671003454668</v>
      </c>
      <c r="K25" s="20">
        <f t="shared" si="4"/>
        <v>0.27212328996545332</v>
      </c>
      <c r="L25">
        <f t="shared" si="5"/>
        <v>42.584418463815545</v>
      </c>
      <c r="M25">
        <f t="shared" si="6"/>
        <v>0.49043599400950583</v>
      </c>
    </row>
    <row r="26" spans="2:13" x14ac:dyDescent="0.25">
      <c r="I26">
        <v>48</v>
      </c>
      <c r="J26" s="4">
        <f t="shared" si="3"/>
        <v>0.65515175417155058</v>
      </c>
      <c r="K26" s="20">
        <f t="shared" si="4"/>
        <v>0.34484824582844942</v>
      </c>
      <c r="L26">
        <f t="shared" si="5"/>
        <v>44.661075565829243</v>
      </c>
      <c r="M26">
        <f t="shared" si="6"/>
        <v>0.53276661011144599</v>
      </c>
    </row>
    <row r="27" spans="2:13" x14ac:dyDescent="0.25">
      <c r="I27">
        <v>51</v>
      </c>
      <c r="J27" s="4">
        <f t="shared" si="3"/>
        <v>0.57502029915748154</v>
      </c>
      <c r="K27" s="20">
        <f t="shared" si="4"/>
        <v>0.42497970084251846</v>
      </c>
      <c r="L27">
        <f t="shared" si="5"/>
        <v>46.507890729498591</v>
      </c>
      <c r="M27">
        <f t="shared" si="6"/>
        <v>0.58052918784759999</v>
      </c>
    </row>
    <row r="28" spans="2:13" x14ac:dyDescent="0.25">
      <c r="I28">
        <v>54</v>
      </c>
      <c r="J28" s="4">
        <f t="shared" si="3"/>
        <v>0.49016512463362227</v>
      </c>
      <c r="K28" s="20">
        <f t="shared" si="4"/>
        <v>0.50983487536637773</v>
      </c>
      <c r="L28">
        <f t="shared" si="5"/>
        <v>48.106447113342078</v>
      </c>
      <c r="M28">
        <f t="shared" si="6"/>
        <v>0.63179463124861812</v>
      </c>
    </row>
    <row r="29" spans="2:13" x14ac:dyDescent="0.25">
      <c r="I29">
        <v>57</v>
      </c>
      <c r="J29" s="4">
        <f t="shared" si="3"/>
        <v>0.40404263066794321</v>
      </c>
      <c r="K29" s="20">
        <f t="shared" si="4"/>
        <v>0.59595736933205679</v>
      </c>
      <c r="L29">
        <f t="shared" si="5"/>
        <v>49.447599026751512</v>
      </c>
      <c r="M29">
        <f t="shared" si="6"/>
        <v>0.68432634625951216</v>
      </c>
    </row>
    <row r="30" spans="2:13" x14ac:dyDescent="0.25">
      <c r="I30">
        <v>60</v>
      </c>
      <c r="J30" s="4">
        <f t="shared" si="3"/>
        <v>0.32054429814743002</v>
      </c>
      <c r="K30" s="20">
        <f t="shared" si="4"/>
        <v>0.67945570185256998</v>
      </c>
      <c r="L30">
        <f t="shared" si="5"/>
        <v>50.53332853388379</v>
      </c>
      <c r="M30">
        <f t="shared" si="6"/>
        <v>0.73571698427056742</v>
      </c>
    </row>
    <row r="31" spans="2:13" x14ac:dyDescent="0.25">
      <c r="I31">
        <v>63</v>
      </c>
      <c r="J31" s="4">
        <f t="shared" si="3"/>
        <v>0.24350884651874549</v>
      </c>
      <c r="K31" s="20">
        <f t="shared" si="4"/>
        <v>0.75649115348125451</v>
      </c>
      <c r="L31">
        <f t="shared" si="5"/>
        <v>51.37734810339181</v>
      </c>
      <c r="M31">
        <f t="shared" si="6"/>
        <v>0.78360693234363987</v>
      </c>
    </row>
    <row r="32" spans="2:13" x14ac:dyDescent="0.25">
      <c r="I32">
        <v>66</v>
      </c>
      <c r="J32" s="4">
        <f t="shared" si="3"/>
        <v>0.17617024694185512</v>
      </c>
      <c r="K32" s="20">
        <f t="shared" si="4"/>
        <v>0.82382975305814488</v>
      </c>
      <c r="L32">
        <f t="shared" si="5"/>
        <v>52.004115702841652</v>
      </c>
      <c r="M32">
        <f t="shared" si="6"/>
        <v>0.82595751397381634</v>
      </c>
    </row>
    <row r="33" spans="9:13" x14ac:dyDescent="0.25">
      <c r="I33">
        <v>69</v>
      </c>
      <c r="J33" s="4">
        <f t="shared" si="3"/>
        <v>0.1206698765314872</v>
      </c>
      <c r="K33" s="20">
        <f t="shared" si="4"/>
        <v>0.8793301234685128</v>
      </c>
      <c r="L33">
        <f t="shared" si="5"/>
        <v>52.446255064766426</v>
      </c>
      <c r="M33">
        <f t="shared" si="6"/>
        <v>0.86132374719521254</v>
      </c>
    </row>
    <row r="34" spans="9:13" x14ac:dyDescent="0.25">
      <c r="I34">
        <v>72</v>
      </c>
      <c r="J34" s="4">
        <f t="shared" si="3"/>
        <v>7.7767765219306062E-2</v>
      </c>
      <c r="K34" s="20">
        <f t="shared" si="4"/>
        <v>0.92223223478069394</v>
      </c>
      <c r="L34">
        <f t="shared" si="5"/>
        <v>52.740780468245106</v>
      </c>
      <c r="M34">
        <f t="shared" si="6"/>
        <v>0.88905186792712543</v>
      </c>
    </row>
    <row r="35" spans="9:13" x14ac:dyDescent="0.25">
      <c r="I35">
        <v>75</v>
      </c>
      <c r="J35" s="4">
        <f t="shared" si="3"/>
        <v>4.6843143519625929E-2</v>
      </c>
      <c r="K35" s="20">
        <f t="shared" si="4"/>
        <v>0.95315685648037407</v>
      </c>
      <c r="L35">
        <f t="shared" si="5"/>
        <v>52.924876264161341</v>
      </c>
      <c r="M35">
        <f t="shared" si="6"/>
        <v>0.90933182382901845</v>
      </c>
    </row>
    <row r="36" spans="9:13" x14ac:dyDescent="0.25">
      <c r="I36">
        <v>78</v>
      </c>
      <c r="J36" s="4">
        <f t="shared" si="3"/>
        <v>2.6186129575340278E-2</v>
      </c>
      <c r="K36" s="20">
        <f t="shared" si="4"/>
        <v>0.97381387042465972</v>
      </c>
      <c r="L36">
        <f t="shared" si="5"/>
        <v>53.032127164301741</v>
      </c>
      <c r="M36">
        <f t="shared" si="6"/>
        <v>0.92307356756261727</v>
      </c>
    </row>
    <row r="37" spans="9:13" x14ac:dyDescent="0.25">
      <c r="I37">
        <v>81</v>
      </c>
      <c r="J37" s="4">
        <f t="shared" si="3"/>
        <v>1.3484270770650508E-2</v>
      </c>
      <c r="K37" s="20">
        <f t="shared" si="4"/>
        <v>0.98651572922934949</v>
      </c>
      <c r="L37">
        <f t="shared" si="5"/>
        <v>53.08995033626185</v>
      </c>
      <c r="M37">
        <f t="shared" si="6"/>
        <v>0.9316382640386659</v>
      </c>
    </row>
    <row r="38" spans="9:13" x14ac:dyDescent="0.25">
      <c r="I38">
        <v>84</v>
      </c>
      <c r="J38" s="4">
        <f t="shared" si="3"/>
        <v>6.345738462781747E-3</v>
      </c>
      <c r="K38" s="20">
        <f t="shared" si="4"/>
        <v>0.99365426153721825</v>
      </c>
      <c r="L38">
        <f t="shared" si="5"/>
        <v>53.118584330114473</v>
      </c>
      <c r="M38">
        <f t="shared" si="6"/>
        <v>0.9365116011438237</v>
      </c>
    </row>
    <row r="39" spans="9:13" x14ac:dyDescent="0.25">
      <c r="I39">
        <v>87</v>
      </c>
      <c r="J39" s="4">
        <f t="shared" si="3"/>
        <v>2.7065479709525997E-3</v>
      </c>
      <c r="K39" s="20">
        <f t="shared" si="4"/>
        <v>0.9972934520290474</v>
      </c>
      <c r="L39">
        <f t="shared" si="5"/>
        <v>53.131505480133946</v>
      </c>
      <c r="M39">
        <f t="shared" si="6"/>
        <v>0.93902361000887868</v>
      </c>
    </row>
    <row r="40" spans="9:13" x14ac:dyDescent="0.25">
      <c r="I40">
        <v>90</v>
      </c>
      <c r="J40" s="4">
        <f t="shared" si="3"/>
        <v>1.0370939077204433E-3</v>
      </c>
      <c r="K40" s="20">
        <f t="shared" si="4"/>
        <v>0.99896290609227956</v>
      </c>
      <c r="L40">
        <f t="shared" si="5"/>
        <v>53.136774655243151</v>
      </c>
      <c r="M40">
        <f t="shared" si="6"/>
        <v>0.94018721625140345</v>
      </c>
    </row>
    <row r="41" spans="9:13" x14ac:dyDescent="0.25">
      <c r="I41">
        <v>93</v>
      </c>
      <c r="J41" s="4">
        <f t="shared" si="3"/>
        <v>3.5374138572630276E-4</v>
      </c>
      <c r="K41" s="20">
        <f t="shared" si="4"/>
        <v>0.9996462586142737</v>
      </c>
      <c r="L41">
        <f t="shared" si="5"/>
        <v>53.138699562944822</v>
      </c>
      <c r="M41">
        <f t="shared" si="6"/>
        <v>0.94066755031068827</v>
      </c>
    </row>
    <row r="42" spans="9:13" x14ac:dyDescent="0.25">
      <c r="I42">
        <v>96</v>
      </c>
      <c r="J42" s="4">
        <f t="shared" si="3"/>
        <v>1.0637010049885376E-4</v>
      </c>
      <c r="K42" s="20">
        <f t="shared" si="4"/>
        <v>0.99989362989950115</v>
      </c>
      <c r="L42">
        <f t="shared" si="5"/>
        <v>53.139323764590472</v>
      </c>
      <c r="M42">
        <f t="shared" si="6"/>
        <v>0.94084270657006064</v>
      </c>
    </row>
    <row r="43" spans="9:13" x14ac:dyDescent="0.25">
      <c r="I43">
        <v>99</v>
      </c>
      <c r="J43" s="4">
        <f t="shared" si="3"/>
        <v>2.7913908775545337E-5</v>
      </c>
      <c r="K43" s="20">
        <f t="shared" si="4"/>
        <v>0.99997208609122445</v>
      </c>
      <c r="L43">
        <f t="shared" si="5"/>
        <v>53.139501725836432</v>
      </c>
      <c r="M43">
        <f t="shared" si="6"/>
        <v>0.94089861251633666</v>
      </c>
    </row>
    <row r="44" spans="9:13" x14ac:dyDescent="0.25">
      <c r="I44">
        <v>102</v>
      </c>
      <c r="J44" s="4">
        <f t="shared" si="3"/>
        <v>6.3254124771372489E-6</v>
      </c>
      <c r="K44" s="20">
        <f t="shared" si="4"/>
        <v>0.99999367458752286</v>
      </c>
      <c r="L44">
        <f t="shared" si="5"/>
        <v>53.139545889249426</v>
      </c>
      <c r="M44">
        <f t="shared" si="6"/>
        <v>0.94091408096914653</v>
      </c>
    </row>
    <row r="45" spans="9:13" x14ac:dyDescent="0.25">
      <c r="I45">
        <v>105</v>
      </c>
      <c r="J45" s="4">
        <f t="shared" si="3"/>
        <v>1.2241070529439568E-6</v>
      </c>
      <c r="K45" s="20">
        <f t="shared" si="4"/>
        <v>0.99999877589294706</v>
      </c>
      <c r="L45">
        <f t="shared" si="5"/>
        <v>53.139555329817618</v>
      </c>
      <c r="M45">
        <f t="shared" si="6"/>
        <v>0.94091775374081754</v>
      </c>
    </row>
    <row r="46" spans="9:13" x14ac:dyDescent="0.25">
      <c r="I46">
        <v>108</v>
      </c>
      <c r="J46" s="4">
        <f t="shared" si="3"/>
        <v>1.9998636713314255E-7</v>
      </c>
      <c r="K46" s="20">
        <f t="shared" si="4"/>
        <v>0.99999980001363287</v>
      </c>
      <c r="L46">
        <f t="shared" si="5"/>
        <v>53.139557049313105</v>
      </c>
      <c r="M46">
        <f t="shared" si="6"/>
        <v>0.94091849418589812</v>
      </c>
    </row>
    <row r="47" spans="9:13" x14ac:dyDescent="0.25">
      <c r="I47">
        <v>111</v>
      </c>
      <c r="J47" s="4">
        <f t="shared" si="3"/>
        <v>2.7252737178073971E-8</v>
      </c>
      <c r="K47" s="20">
        <f t="shared" si="4"/>
        <v>0.99999997274726282</v>
      </c>
      <c r="L47">
        <f t="shared" si="5"/>
        <v>53.139557313155414</v>
      </c>
      <c r="M47">
        <f t="shared" si="6"/>
        <v>0.94091861953679357</v>
      </c>
    </row>
    <row r="48" spans="9:13" x14ac:dyDescent="0.25">
      <c r="I48">
        <v>114</v>
      </c>
      <c r="J48" s="4">
        <f t="shared" si="3"/>
        <v>3.0592469668633271E-9</v>
      </c>
      <c r="K48" s="20">
        <f t="shared" si="4"/>
        <v>0.99999999694075303</v>
      </c>
      <c r="L48">
        <f t="shared" si="5"/>
        <v>53.139557346860983</v>
      </c>
      <c r="M48">
        <f t="shared" si="6"/>
        <v>0.94091863715126856</v>
      </c>
    </row>
    <row r="49" spans="9:13" x14ac:dyDescent="0.25">
      <c r="I49">
        <v>117</v>
      </c>
      <c r="J49" s="4">
        <f t="shared" si="3"/>
        <v>2.7923163781196081E-10</v>
      </c>
      <c r="K49" s="20">
        <f t="shared" si="4"/>
        <v>0.99999999972076836</v>
      </c>
      <c r="L49">
        <f t="shared" si="5"/>
        <v>53.139557350402114</v>
      </c>
      <c r="M49">
        <f t="shared" si="6"/>
        <v>0.94091863918118201</v>
      </c>
    </row>
    <row r="50" spans="9:13" x14ac:dyDescent="0.25">
      <c r="I50">
        <v>120</v>
      </c>
      <c r="J50" s="4">
        <f t="shared" si="3"/>
        <v>2.044531210998457E-11</v>
      </c>
      <c r="K50" s="20">
        <f t="shared" si="4"/>
        <v>0.99999999997955469</v>
      </c>
      <c r="L50">
        <f t="shared" si="5"/>
        <v>53.139557350704195</v>
      </c>
      <c r="M50">
        <f t="shared" si="6"/>
        <v>0.94091863937063069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0"/>
  <sheetViews>
    <sheetView topLeftCell="B1" workbookViewId="0">
      <selection activeCell="D13" sqref="D13"/>
    </sheetView>
  </sheetViews>
  <sheetFormatPr baseColWidth="10" defaultRowHeight="15" x14ac:dyDescent="0.25"/>
  <cols>
    <col min="3" max="3" width="33.7109375" customWidth="1"/>
    <col min="4" max="4" width="16.7109375" bestFit="1" customWidth="1"/>
    <col min="5" max="5" width="16.140625" bestFit="1" customWidth="1"/>
    <col min="9" max="9" width="20.7109375" bestFit="1" customWidth="1"/>
    <col min="10" max="10" width="14.42578125" bestFit="1" customWidth="1"/>
  </cols>
  <sheetData>
    <row r="3" spans="2:11" ht="30" x14ac:dyDescent="0.25">
      <c r="B3" s="24" t="s">
        <v>2</v>
      </c>
      <c r="C3" s="25" t="s">
        <v>0</v>
      </c>
      <c r="D3" s="24" t="s">
        <v>40</v>
      </c>
      <c r="J3" s="24" t="s">
        <v>39</v>
      </c>
      <c r="K3" s="24" t="s">
        <v>38</v>
      </c>
    </row>
    <row r="4" spans="2:11" x14ac:dyDescent="0.25">
      <c r="B4" s="26">
        <v>1</v>
      </c>
      <c r="C4" s="26">
        <v>55</v>
      </c>
      <c r="D4" s="27">
        <f>_xlfn.GAMMA.DIST(C4,$K$4,$J$4,0)</f>
        <v>2.5998649385292213E-2</v>
      </c>
      <c r="I4" t="s">
        <v>55</v>
      </c>
      <c r="J4" s="28">
        <v>3.9995693546495117</v>
      </c>
      <c r="K4" s="28">
        <v>13.251426666926413</v>
      </c>
    </row>
    <row r="5" spans="2:11" x14ac:dyDescent="0.25">
      <c r="B5" s="26">
        <v>2</v>
      </c>
      <c r="C5" s="26">
        <v>48</v>
      </c>
      <c r="D5" s="27">
        <f t="shared" ref="D5:D10" si="0">_xlfn.GAMMA.DIST(C5,$K$4,$J$4,0)</f>
        <v>2.8230971822271973E-2</v>
      </c>
      <c r="J5" s="28"/>
      <c r="K5" s="28"/>
    </row>
    <row r="6" spans="2:11" x14ac:dyDescent="0.25">
      <c r="B6" s="26">
        <v>3</v>
      </c>
      <c r="C6" s="26">
        <v>65</v>
      </c>
      <c r="D6" s="27">
        <f t="shared" si="0"/>
        <v>1.6517596633727583E-2</v>
      </c>
    </row>
    <row r="7" spans="2:11" x14ac:dyDescent="0.25">
      <c r="B7" s="26">
        <v>4</v>
      </c>
      <c r="C7" s="26">
        <v>40</v>
      </c>
      <c r="D7" s="27">
        <f t="shared" si="0"/>
        <v>2.2352447655074822E-2</v>
      </c>
    </row>
    <row r="8" spans="2:11" x14ac:dyDescent="0.25">
      <c r="B8" s="26">
        <v>5</v>
      </c>
      <c r="C8" s="26">
        <v>59</v>
      </c>
      <c r="D8" s="27">
        <f t="shared" si="0"/>
        <v>2.260201911963022E-2</v>
      </c>
    </row>
    <row r="9" spans="2:11" x14ac:dyDescent="0.25">
      <c r="B9" s="26">
        <v>6</v>
      </c>
      <c r="C9" s="26">
        <v>30</v>
      </c>
      <c r="D9" s="27">
        <f t="shared" si="0"/>
        <v>8.0260234863510378E-3</v>
      </c>
      <c r="I9" t="s">
        <v>10</v>
      </c>
      <c r="J9" t="s">
        <v>4</v>
      </c>
    </row>
    <row r="10" spans="2:11" x14ac:dyDescent="0.25">
      <c r="B10" s="26">
        <v>7</v>
      </c>
      <c r="C10" s="26">
        <v>74</v>
      </c>
      <c r="D10" s="27">
        <f t="shared" si="0"/>
        <v>8.524312321263031E-3</v>
      </c>
      <c r="I10">
        <v>0</v>
      </c>
      <c r="J10" s="4">
        <f>1-_xlfn.GAMMA.DIST(I10,$K$4,$J$4,1)</f>
        <v>1</v>
      </c>
    </row>
    <row r="11" spans="2:11" x14ac:dyDescent="0.25">
      <c r="I11">
        <v>3</v>
      </c>
      <c r="J11" s="4">
        <f t="shared" ref="J11:J50" si="1">1-_xlfn.GAMMA.DIST(I11,$K$4,$J$4,1)</f>
        <v>0.9999999999990814</v>
      </c>
    </row>
    <row r="12" spans="2:11" x14ac:dyDescent="0.25">
      <c r="C12">
        <f>AVERAGE(C4:C10)</f>
        <v>53</v>
      </c>
      <c r="D12" s="23">
        <f>+PRODUCT(D4:D10)</f>
        <v>4.1904009175280972E-13</v>
      </c>
      <c r="I12">
        <v>6</v>
      </c>
      <c r="J12" s="4">
        <f t="shared" si="1"/>
        <v>0.99999999552307983</v>
      </c>
    </row>
    <row r="13" spans="2:11" x14ac:dyDescent="0.25">
      <c r="D13" s="6">
        <f>IFERROR(LN(D12),-100)</f>
        <v>-28.500809795191756</v>
      </c>
      <c r="E13" t="s">
        <v>41</v>
      </c>
      <c r="I13">
        <v>9</v>
      </c>
      <c r="J13" s="4">
        <f t="shared" si="1"/>
        <v>0.99999951644928753</v>
      </c>
    </row>
    <row r="14" spans="2:11" x14ac:dyDescent="0.25">
      <c r="I14">
        <v>12</v>
      </c>
      <c r="J14" s="4">
        <f t="shared" si="1"/>
        <v>0.99998899985787448</v>
      </c>
    </row>
    <row r="15" spans="2:11" x14ac:dyDescent="0.25">
      <c r="I15">
        <v>15</v>
      </c>
      <c r="J15" s="4">
        <f t="shared" si="1"/>
        <v>0.99989324447064287</v>
      </c>
    </row>
    <row r="16" spans="2:11" x14ac:dyDescent="0.25">
      <c r="B16" t="s">
        <v>11</v>
      </c>
      <c r="C16" t="s">
        <v>44</v>
      </c>
      <c r="I16">
        <v>18</v>
      </c>
      <c r="J16" s="4">
        <f t="shared" si="1"/>
        <v>0.99939460462488994</v>
      </c>
    </row>
    <row r="17" spans="2:10" x14ac:dyDescent="0.25">
      <c r="B17" t="s">
        <v>36</v>
      </c>
      <c r="C17" t="s">
        <v>37</v>
      </c>
      <c r="I17">
        <v>21</v>
      </c>
      <c r="J17" s="4">
        <f t="shared" si="1"/>
        <v>0.9976270003958293</v>
      </c>
    </row>
    <row r="18" spans="2:10" x14ac:dyDescent="0.25">
      <c r="B18" t="s">
        <v>13</v>
      </c>
      <c r="C18" t="s">
        <v>34</v>
      </c>
      <c r="I18">
        <v>24</v>
      </c>
      <c r="J18" s="4">
        <f t="shared" si="1"/>
        <v>0.9928913573739433</v>
      </c>
    </row>
    <row r="19" spans="2:10" x14ac:dyDescent="0.25">
      <c r="B19" t="s">
        <v>15</v>
      </c>
      <c r="C19" t="s">
        <v>35</v>
      </c>
      <c r="I19">
        <v>27</v>
      </c>
      <c r="J19" s="4">
        <f t="shared" si="1"/>
        <v>0.98263335375862626</v>
      </c>
    </row>
    <row r="20" spans="2:10" x14ac:dyDescent="0.25">
      <c r="I20">
        <v>30</v>
      </c>
      <c r="J20" s="4">
        <f t="shared" si="1"/>
        <v>0.96382398213988452</v>
      </c>
    </row>
    <row r="21" spans="2:10" x14ac:dyDescent="0.25">
      <c r="I21">
        <v>33</v>
      </c>
      <c r="J21" s="4">
        <f t="shared" si="1"/>
        <v>0.93366139412490967</v>
      </c>
    </row>
    <row r="22" spans="2:10" x14ac:dyDescent="0.25">
      <c r="I22">
        <v>36</v>
      </c>
      <c r="J22" s="4">
        <f t="shared" si="1"/>
        <v>0.89033582527068456</v>
      </c>
    </row>
    <row r="23" spans="2:10" x14ac:dyDescent="0.25">
      <c r="I23">
        <v>39</v>
      </c>
      <c r="J23" s="4">
        <f t="shared" si="1"/>
        <v>0.83357387637023406</v>
      </c>
    </row>
    <row r="24" spans="2:10" x14ac:dyDescent="0.25">
      <c r="I24">
        <v>42</v>
      </c>
      <c r="J24" s="4">
        <f t="shared" si="1"/>
        <v>0.76479045737213902</v>
      </c>
    </row>
    <row r="25" spans="2:10" x14ac:dyDescent="0.25">
      <c r="I25">
        <v>45</v>
      </c>
      <c r="J25" s="4">
        <f t="shared" si="1"/>
        <v>0.68684019614178049</v>
      </c>
    </row>
    <row r="26" spans="2:10" x14ac:dyDescent="0.25">
      <c r="I26">
        <v>48</v>
      </c>
      <c r="J26" s="4">
        <f t="shared" si="1"/>
        <v>0.60349007375662023</v>
      </c>
    </row>
    <row r="27" spans="2:10" x14ac:dyDescent="0.25">
      <c r="I27">
        <v>51</v>
      </c>
      <c r="J27" s="4">
        <f t="shared" si="1"/>
        <v>0.51879000105323037</v>
      </c>
    </row>
    <row r="28" spans="2:10" x14ac:dyDescent="0.25">
      <c r="I28">
        <v>54</v>
      </c>
      <c r="J28" s="4">
        <f t="shared" si="1"/>
        <v>0.43650202447991782</v>
      </c>
    </row>
    <row r="29" spans="2:10" x14ac:dyDescent="0.25">
      <c r="I29">
        <v>57</v>
      </c>
      <c r="J29" s="4">
        <f t="shared" si="1"/>
        <v>0.35969114858491802</v>
      </c>
    </row>
    <row r="30" spans="2:10" x14ac:dyDescent="0.25">
      <c r="I30">
        <v>60</v>
      </c>
      <c r="J30" s="4">
        <f t="shared" si="1"/>
        <v>0.2905139391074707</v>
      </c>
    </row>
    <row r="31" spans="2:10" x14ac:dyDescent="0.25">
      <c r="I31">
        <v>63</v>
      </c>
      <c r="J31" s="4">
        <f t="shared" si="1"/>
        <v>0.23018769879213852</v>
      </c>
    </row>
    <row r="32" spans="2:10" x14ac:dyDescent="0.25">
      <c r="I32">
        <v>66</v>
      </c>
      <c r="J32" s="4">
        <f t="shared" si="1"/>
        <v>0.17909236679923968</v>
      </c>
    </row>
    <row r="33" spans="9:10" x14ac:dyDescent="0.25">
      <c r="I33">
        <v>69</v>
      </c>
      <c r="J33" s="4">
        <f t="shared" si="1"/>
        <v>0.13694829949464216</v>
      </c>
    </row>
    <row r="34" spans="9:10" x14ac:dyDescent="0.25">
      <c r="I34">
        <v>72</v>
      </c>
      <c r="J34" s="4">
        <f t="shared" si="1"/>
        <v>0.10301928326971876</v>
      </c>
    </row>
    <row r="35" spans="9:10" x14ac:dyDescent="0.25">
      <c r="I35">
        <v>75</v>
      </c>
      <c r="J35" s="4">
        <f t="shared" si="1"/>
        <v>7.6303950751148375E-2</v>
      </c>
    </row>
    <row r="36" spans="9:10" x14ac:dyDescent="0.25">
      <c r="I36">
        <v>78</v>
      </c>
      <c r="J36" s="4">
        <f t="shared" si="1"/>
        <v>5.5694108896085393E-2</v>
      </c>
    </row>
    <row r="37" spans="9:10" x14ac:dyDescent="0.25">
      <c r="I37">
        <v>81</v>
      </c>
      <c r="J37" s="4">
        <f t="shared" si="1"/>
        <v>4.0091574606805458E-2</v>
      </c>
    </row>
    <row r="38" spans="9:10" x14ac:dyDescent="0.25">
      <c r="I38">
        <v>84</v>
      </c>
      <c r="J38" s="4">
        <f t="shared" si="1"/>
        <v>2.8484356113275822E-2</v>
      </c>
    </row>
    <row r="39" spans="9:10" x14ac:dyDescent="0.25">
      <c r="I39">
        <v>87</v>
      </c>
      <c r="J39" s="4">
        <f t="shared" si="1"/>
        <v>1.998834576850661E-2</v>
      </c>
    </row>
    <row r="40" spans="9:10" x14ac:dyDescent="0.25">
      <c r="I40">
        <v>90</v>
      </c>
      <c r="J40" s="4">
        <f t="shared" si="1"/>
        <v>1.3862850391270332E-2</v>
      </c>
    </row>
    <row r="41" spans="9:10" x14ac:dyDescent="0.25">
      <c r="I41">
        <v>93</v>
      </c>
      <c r="J41" s="4">
        <f t="shared" si="1"/>
        <v>9.5082960747060463E-3</v>
      </c>
    </row>
    <row r="42" spans="9:10" x14ac:dyDescent="0.25">
      <c r="I42">
        <v>96</v>
      </c>
      <c r="J42" s="4">
        <f t="shared" si="1"/>
        <v>6.4532532443717372E-3</v>
      </c>
    </row>
    <row r="43" spans="9:10" x14ac:dyDescent="0.25">
      <c r="I43">
        <v>99</v>
      </c>
      <c r="J43" s="4">
        <f t="shared" si="1"/>
        <v>4.336258302170215E-3</v>
      </c>
    </row>
    <row r="44" spans="9:10" x14ac:dyDescent="0.25">
      <c r="I44">
        <v>102</v>
      </c>
      <c r="J44" s="4">
        <f t="shared" si="1"/>
        <v>2.8862295631628676E-3</v>
      </c>
    </row>
    <row r="45" spans="9:10" x14ac:dyDescent="0.25">
      <c r="I45">
        <v>105</v>
      </c>
      <c r="J45" s="4">
        <f t="shared" si="1"/>
        <v>1.9038386267888896E-3</v>
      </c>
    </row>
    <row r="46" spans="9:10" x14ac:dyDescent="0.25">
      <c r="I46">
        <v>108</v>
      </c>
      <c r="J46" s="4">
        <f t="shared" si="1"/>
        <v>1.2450982153295875E-3</v>
      </c>
    </row>
    <row r="47" spans="9:10" x14ac:dyDescent="0.25">
      <c r="I47">
        <v>111</v>
      </c>
      <c r="J47" s="4">
        <f t="shared" si="1"/>
        <v>8.0766155125555628E-4</v>
      </c>
    </row>
    <row r="48" spans="9:10" x14ac:dyDescent="0.25">
      <c r="I48">
        <v>114</v>
      </c>
      <c r="J48" s="4">
        <f t="shared" si="1"/>
        <v>5.1984516522041169E-4</v>
      </c>
    </row>
    <row r="49" spans="9:10" x14ac:dyDescent="0.25">
      <c r="I49">
        <v>117</v>
      </c>
      <c r="J49" s="4">
        <f t="shared" si="1"/>
        <v>3.3211855908477084E-4</v>
      </c>
    </row>
    <row r="50" spans="9:10" x14ac:dyDescent="0.25">
      <c r="I50">
        <v>120</v>
      </c>
      <c r="J50" s="4">
        <f t="shared" si="1"/>
        <v>2.1068451565275925E-4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"/>
  <sheetViews>
    <sheetView workbookViewId="0">
      <selection activeCell="F9" sqref="F9"/>
    </sheetView>
  </sheetViews>
  <sheetFormatPr baseColWidth="10" defaultRowHeight="15" x14ac:dyDescent="0.25"/>
  <cols>
    <col min="3" max="3" width="20.7109375" customWidth="1"/>
    <col min="4" max="4" width="15.28515625" bestFit="1" customWidth="1"/>
  </cols>
  <sheetData>
    <row r="1" spans="2:16" x14ac:dyDescent="0.25">
      <c r="H1" s="43" t="s">
        <v>48</v>
      </c>
      <c r="I1" s="43" t="s">
        <v>47</v>
      </c>
    </row>
    <row r="2" spans="2:16" ht="30" x14ac:dyDescent="0.25">
      <c r="B2" s="31" t="s">
        <v>2</v>
      </c>
      <c r="C2" s="32" t="s">
        <v>0</v>
      </c>
      <c r="D2" s="37" t="s">
        <v>40</v>
      </c>
      <c r="E2" s="35"/>
      <c r="F2" s="35"/>
      <c r="H2" s="43" t="s">
        <v>38</v>
      </c>
      <c r="I2" s="43" t="s">
        <v>39</v>
      </c>
    </row>
    <row r="3" spans="2:16" x14ac:dyDescent="0.25">
      <c r="B3" s="26">
        <v>1</v>
      </c>
      <c r="C3" s="26">
        <v>55</v>
      </c>
      <c r="D3" s="37">
        <f>_xlfn.WEIBULL.DIST(C3,$H$3,$I$3,0)</f>
        <v>2.8082108991660141E-2</v>
      </c>
      <c r="E3" s="35"/>
      <c r="F3" s="35"/>
      <c r="H3" s="30">
        <v>4.3167657045646362</v>
      </c>
      <c r="I3" s="30">
        <v>58.217495271531938</v>
      </c>
    </row>
    <row r="4" spans="2:16" x14ac:dyDescent="0.25">
      <c r="B4" s="26">
        <v>2</v>
      </c>
      <c r="C4" s="26">
        <v>48</v>
      </c>
      <c r="D4" s="37">
        <f t="shared" ref="D4:D9" si="0">_xlfn.WEIBULL.DIST(C4,$H$3,$I$3,0)</f>
        <v>2.5311977261571823E-2</v>
      </c>
      <c r="E4" s="35"/>
      <c r="F4" s="35"/>
    </row>
    <row r="5" spans="2:16" x14ac:dyDescent="0.25">
      <c r="B5" s="26">
        <v>3</v>
      </c>
      <c r="C5" s="26">
        <v>65</v>
      </c>
      <c r="D5" s="37">
        <f t="shared" si="0"/>
        <v>2.137936214614744E-2</v>
      </c>
      <c r="E5" s="35"/>
      <c r="F5" s="35"/>
    </row>
    <row r="6" spans="2:16" x14ac:dyDescent="0.25">
      <c r="B6" s="26">
        <v>4</v>
      </c>
      <c r="C6" s="26">
        <v>40</v>
      </c>
      <c r="D6" s="37">
        <f t="shared" si="0"/>
        <v>1.7520914582420718E-2</v>
      </c>
      <c r="E6" s="35"/>
      <c r="F6" s="35"/>
      <c r="I6" s="36"/>
      <c r="J6" s="36"/>
      <c r="K6" s="36"/>
      <c r="L6" s="36"/>
      <c r="M6" s="36"/>
      <c r="N6" s="36"/>
      <c r="O6" s="36"/>
      <c r="P6" s="36"/>
    </row>
    <row r="7" spans="2:16" x14ac:dyDescent="0.25">
      <c r="B7" s="26">
        <v>5</v>
      </c>
      <c r="C7" s="26">
        <v>59</v>
      </c>
      <c r="D7" s="37">
        <f t="shared" si="0"/>
        <v>2.6870552442140452E-2</v>
      </c>
      <c r="E7" s="35"/>
      <c r="F7" s="35"/>
      <c r="I7" s="36"/>
      <c r="J7" s="36" t="s">
        <v>53</v>
      </c>
      <c r="K7" s="36"/>
      <c r="L7" s="36"/>
      <c r="M7" s="36"/>
      <c r="N7" s="36"/>
      <c r="O7" s="36"/>
      <c r="P7" s="36"/>
    </row>
    <row r="8" spans="2:16" x14ac:dyDescent="0.25">
      <c r="B8" s="26">
        <v>6</v>
      </c>
      <c r="C8" s="26">
        <v>30</v>
      </c>
      <c r="D8" s="37">
        <f t="shared" si="0"/>
        <v>7.7674498263208677E-3</v>
      </c>
      <c r="E8" s="35"/>
      <c r="F8" s="35"/>
      <c r="I8" s="36"/>
      <c r="J8" s="36"/>
      <c r="K8" s="36"/>
      <c r="L8" s="36"/>
      <c r="M8" s="36"/>
      <c r="N8" s="36"/>
      <c r="O8" s="36"/>
      <c r="P8" s="36"/>
    </row>
    <row r="9" spans="2:16" x14ac:dyDescent="0.25">
      <c r="B9" s="26">
        <v>7</v>
      </c>
      <c r="C9" s="29">
        <v>74</v>
      </c>
      <c r="D9" s="37">
        <f t="shared" si="0"/>
        <v>9.8274400513934657E-3</v>
      </c>
      <c r="E9" s="35" t="s">
        <v>56</v>
      </c>
      <c r="F9" s="35">
        <f>IFERROR(LN(PRODUCT(D3:D9)),-1000)</f>
        <v>-28.235903856122086</v>
      </c>
      <c r="I9" s="36"/>
      <c r="J9" s="36"/>
      <c r="K9" s="36"/>
      <c r="L9" s="36"/>
      <c r="M9" s="36"/>
      <c r="N9" s="36"/>
      <c r="O9" s="36"/>
      <c r="P9" s="36"/>
    </row>
    <row r="10" spans="2:16" x14ac:dyDescent="0.25">
      <c r="B10" s="36"/>
      <c r="C10" s="38" t="s">
        <v>49</v>
      </c>
      <c r="D10" s="38" t="s">
        <v>50</v>
      </c>
      <c r="E10" s="38" t="s">
        <v>51</v>
      </c>
      <c r="I10" s="36"/>
      <c r="J10" s="36"/>
      <c r="K10" s="36"/>
      <c r="L10" s="36"/>
      <c r="M10" s="36"/>
      <c r="N10" s="36"/>
      <c r="O10" s="36"/>
      <c r="P10" s="36"/>
    </row>
    <row r="11" spans="2:16" x14ac:dyDescent="0.25">
      <c r="B11" s="38" t="s">
        <v>45</v>
      </c>
      <c r="C11" s="39">
        <f>AVERAGE(C3:C9)</f>
        <v>53</v>
      </c>
      <c r="D11" s="39">
        <f>$I$3*_xlfn.GAMMA(1+1/$H$3)</f>
        <v>52.999876772483141</v>
      </c>
      <c r="E11" s="40">
        <f>ABS(C11-D11)/C11</f>
        <v>2.3250474879057279E-6</v>
      </c>
      <c r="I11" s="36"/>
      <c r="J11" s="36"/>
      <c r="K11" s="36"/>
      <c r="L11" s="36"/>
      <c r="M11" s="36"/>
      <c r="N11" s="36"/>
      <c r="O11" s="36"/>
      <c r="P11" s="36"/>
    </row>
    <row r="12" spans="2:16" x14ac:dyDescent="0.25">
      <c r="B12" s="38" t="s">
        <v>46</v>
      </c>
      <c r="C12" s="41">
        <f>_xlfn.VAR.P(C3:C9)</f>
        <v>192.57142857142858</v>
      </c>
      <c r="D12" s="41">
        <f>I3^2*(_xlfn.GAMMA(1+2/H3)-(_xlfn.GAMMA(1+1/H3))^2)</f>
        <v>192.57146918513087</v>
      </c>
      <c r="E12" s="40">
        <f>ABS(C12-D12)/C12</f>
        <v>2.109020148182552E-7</v>
      </c>
      <c r="I12" s="36"/>
      <c r="J12" s="36"/>
      <c r="K12" s="36"/>
      <c r="L12" s="36"/>
      <c r="M12" s="36"/>
      <c r="N12" s="36"/>
      <c r="O12" s="36"/>
      <c r="P12" s="36"/>
    </row>
    <row r="13" spans="2:16" x14ac:dyDescent="0.25">
      <c r="B13" s="36"/>
      <c r="C13" s="36"/>
      <c r="D13" s="36"/>
      <c r="E13" s="36"/>
      <c r="I13" s="36"/>
      <c r="J13" s="36"/>
      <c r="K13" s="36"/>
      <c r="L13" s="36"/>
      <c r="M13" s="36"/>
      <c r="N13" s="36"/>
      <c r="O13" s="36"/>
      <c r="P13" s="36"/>
    </row>
    <row r="14" spans="2:16" x14ac:dyDescent="0.25">
      <c r="B14" s="36"/>
      <c r="C14" s="36"/>
      <c r="D14" s="38" t="s">
        <v>54</v>
      </c>
      <c r="E14" s="42">
        <f>SUM(E11:E12)</f>
        <v>2.5359495027239831E-6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Weibull 2 param</vt:lpstr>
      <vt:lpstr>Normal</vt:lpstr>
      <vt:lpstr>Weibull 3 param</vt:lpstr>
      <vt:lpstr>ML Weibull</vt:lpstr>
      <vt:lpstr>ML Gamma</vt:lpstr>
      <vt:lpstr>Metodo de los momentos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</dc:creator>
  <cp:lastModifiedBy>Sala B07</cp:lastModifiedBy>
  <dcterms:created xsi:type="dcterms:W3CDTF">2023-08-23T15:18:08Z</dcterms:created>
  <dcterms:modified xsi:type="dcterms:W3CDTF">2023-08-30T19:39:58Z</dcterms:modified>
</cp:coreProperties>
</file>