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4f350dc62e3a358/00 U. de Chile/CI5501 - Métodos Constructivos/Otro Material/"/>
    </mc:Choice>
  </mc:AlternateContent>
  <xr:revisionPtr revIDLastSave="0" documentId="8_{6EAE1BFE-0BEA-4CDB-A17D-039294C64FB9}" xr6:coauthVersionLast="47" xr6:coauthVersionMax="47" xr10:uidLastSave="{00000000-0000-0000-0000-000000000000}"/>
  <bookViews>
    <workbookView xWindow="-120" yWindow="-120" windowWidth="20730" windowHeight="11040" activeTab="1"/>
  </bookViews>
  <sheets>
    <sheet name="Costo de Materiales" sheetId="1" r:id="rId1"/>
    <sheet name="Tabla de Precios Unitarios PPPF" sheetId="2" r:id="rId2"/>
  </sheets>
  <definedNames>
    <definedName name="_xlnm._FilterDatabase" localSheetId="0" hidden="1">'Costo de Materiales'!$A$3:$E$350</definedName>
    <definedName name="_xlnm._FilterDatabase" localSheetId="1" hidden="1">'Tabla de Precios Unitarios PPPF'!$A$3:$F$1608</definedName>
    <definedName name="_xlnm.Print_Area" localSheetId="0">'Costo de Materiales'!$A$1:$F$350</definedName>
    <definedName name="_xlnm.Print_Area" localSheetId="1">'Tabla de Precios Unitarios PPPF'!$A$1:$F$1608</definedName>
    <definedName name="_xlnm.Print_Titles" localSheetId="0">'Costo de Materiales'!$3:$3</definedName>
    <definedName name="_xlnm.Print_Titles" localSheetId="1">'Tabla de Precios Unitarios PPPF'!$3:$3</definedName>
    <definedName name="Z_4343EAB4_2D43_465E_91A1_08A16D649EDB_.wvu.FilterData" localSheetId="0" hidden="1">'Costo de Materiales'!$A$3:$E$350</definedName>
    <definedName name="Z_4343EAB4_2D43_465E_91A1_08A16D649EDB_.wvu.FilterData" localSheetId="1" hidden="1">'Tabla de Precios Unitarios PPPF'!$A$3:$F$1608</definedName>
    <definedName name="Z_4343EAB4_2D43_465E_91A1_08A16D649EDB_.wvu.PrintArea" localSheetId="0" hidden="1">'Costo de Materiales'!$A$2:$E$330</definedName>
    <definedName name="Z_4343EAB4_2D43_465E_91A1_08A16D649EDB_.wvu.PrintArea" localSheetId="1" hidden="1">'Tabla de Precios Unitarios PPPF'!$A$3:$F$1608</definedName>
  </definedNames>
  <calcPr calcId="191029" fullCalcOnLoad="1"/>
  <customWorkbookViews>
    <customWorkbookView name="yherrera - Vista personalizada" guid="{4343EAB4-2D43-465E-91A1-08A16D649EDB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F26" i="1"/>
  <c r="D96" i="1"/>
  <c r="D97" i="1"/>
  <c r="E86" i="2" s="1"/>
  <c r="D95" i="1"/>
  <c r="D62" i="1"/>
  <c r="D63" i="1"/>
  <c r="D61" i="1"/>
  <c r="D8" i="1"/>
  <c r="D9" i="1"/>
  <c r="D10" i="1"/>
  <c r="D11" i="1"/>
  <c r="E67" i="2" s="1"/>
  <c r="D7" i="1"/>
  <c r="E342" i="1"/>
  <c r="D342" i="1" s="1"/>
  <c r="E335" i="1"/>
  <c r="E336" i="1"/>
  <c r="E337" i="1"/>
  <c r="E338" i="1"/>
  <c r="E339" i="1"/>
  <c r="E340" i="1"/>
  <c r="E341" i="1"/>
  <c r="E343" i="1"/>
  <c r="E344" i="1"/>
  <c r="E345" i="1"/>
  <c r="E346" i="1"/>
  <c r="E347" i="1"/>
  <c r="E348" i="1"/>
  <c r="E349" i="1"/>
  <c r="E350" i="1"/>
  <c r="D350" i="1" s="1"/>
  <c r="E334" i="1"/>
  <c r="H160" i="1"/>
  <c r="D160" i="1"/>
  <c r="F160" i="1" s="1"/>
  <c r="G283" i="1"/>
  <c r="H283" i="1" s="1"/>
  <c r="D283" i="1" s="1"/>
  <c r="G270" i="1"/>
  <c r="H270" i="1" s="1"/>
  <c r="D270" i="1" s="1"/>
  <c r="E350" i="2" s="1"/>
  <c r="F350" i="2" s="1"/>
  <c r="G265" i="1"/>
  <c r="H265" i="1"/>
  <c r="D265" i="1" s="1"/>
  <c r="F265" i="1"/>
  <c r="H96" i="1"/>
  <c r="G95" i="1"/>
  <c r="H95" i="1" s="1"/>
  <c r="H93" i="1"/>
  <c r="D93" i="1" s="1"/>
  <c r="F93" i="1"/>
  <c r="G75" i="1"/>
  <c r="H75" i="1"/>
  <c r="D75" i="1" s="1"/>
  <c r="F75" i="1" s="1"/>
  <c r="F74" i="1"/>
  <c r="G47" i="1"/>
  <c r="H47" i="1" s="1"/>
  <c r="D47" i="1"/>
  <c r="E909" i="2"/>
  <c r="F909" i="2" s="1"/>
  <c r="E910" i="2"/>
  <c r="F910" i="2" s="1"/>
  <c r="D335" i="1"/>
  <c r="D336" i="1"/>
  <c r="D337" i="1"/>
  <c r="D338" i="1"/>
  <c r="D339" i="1"/>
  <c r="D340" i="1"/>
  <c r="D341" i="1"/>
  <c r="D343" i="1"/>
  <c r="D344" i="1"/>
  <c r="D345" i="1"/>
  <c r="D346" i="1"/>
  <c r="D347" i="1"/>
  <c r="D348" i="1"/>
  <c r="D349" i="1"/>
  <c r="D334" i="1"/>
  <c r="G64" i="1"/>
  <c r="G65" i="1"/>
  <c r="H65" i="1" s="1"/>
  <c r="D65" i="1" s="1"/>
  <c r="F65" i="1" s="1"/>
  <c r="H64" i="1"/>
  <c r="D64" i="1" s="1"/>
  <c r="F64" i="1" s="1"/>
  <c r="H66" i="1"/>
  <c r="D66" i="1"/>
  <c r="F66" i="1" s="1"/>
  <c r="F67" i="1"/>
  <c r="F68" i="1"/>
  <c r="F5" i="1"/>
  <c r="F6" i="1"/>
  <c r="F12" i="1"/>
  <c r="H13" i="1"/>
  <c r="D13" i="1"/>
  <c r="F13" i="1" s="1"/>
  <c r="H14" i="1"/>
  <c r="D14" i="1" s="1"/>
  <c r="F14" i="1"/>
  <c r="F15" i="1"/>
  <c r="F16" i="1"/>
  <c r="H17" i="1"/>
  <c r="D17" i="1"/>
  <c r="F17" i="1" s="1"/>
  <c r="F18" i="1"/>
  <c r="F19" i="1"/>
  <c r="G20" i="1"/>
  <c r="H20" i="1" s="1"/>
  <c r="D20" i="1"/>
  <c r="F20" i="1" s="1"/>
  <c r="G21" i="1"/>
  <c r="H21" i="1" s="1"/>
  <c r="D21" i="1"/>
  <c r="F21" i="1" s="1"/>
  <c r="F22" i="1"/>
  <c r="F23" i="1"/>
  <c r="F24" i="1"/>
  <c r="F25" i="1"/>
  <c r="F28" i="1"/>
  <c r="F27" i="1"/>
  <c r="G32" i="1"/>
  <c r="H32" i="1" s="1"/>
  <c r="D32" i="1"/>
  <c r="F32" i="1" s="1"/>
  <c r="G33" i="1"/>
  <c r="H33" i="1" s="1"/>
  <c r="D33" i="1"/>
  <c r="F33" i="1" s="1"/>
  <c r="G34" i="1"/>
  <c r="H34" i="1" s="1"/>
  <c r="D34" i="1"/>
  <c r="G29" i="1"/>
  <c r="H29" i="1" s="1"/>
  <c r="D29" i="1"/>
  <c r="G30" i="1"/>
  <c r="H30" i="1" s="1"/>
  <c r="D30" i="1"/>
  <c r="F30" i="1" s="1"/>
  <c r="G31" i="1"/>
  <c r="H31" i="1" s="1"/>
  <c r="D31" i="1"/>
  <c r="F31" i="1" s="1"/>
  <c r="F35" i="1"/>
  <c r="F36" i="1"/>
  <c r="H37" i="1"/>
  <c r="D37" i="1" s="1"/>
  <c r="F37" i="1"/>
  <c r="H38" i="1"/>
  <c r="D38" i="1"/>
  <c r="F38" i="1" s="1"/>
  <c r="H39" i="1"/>
  <c r="D39" i="1" s="1"/>
  <c r="F39" i="1"/>
  <c r="F40" i="1"/>
  <c r="H42" i="1"/>
  <c r="D42" i="1" s="1"/>
  <c r="F42" i="1" s="1"/>
  <c r="H41" i="1"/>
  <c r="D41" i="1"/>
  <c r="F41" i="1" s="1"/>
  <c r="F44" i="1"/>
  <c r="F45" i="1"/>
  <c r="F46" i="1"/>
  <c r="G48" i="1"/>
  <c r="H48" i="1" s="1"/>
  <c r="D48" i="1"/>
  <c r="F48" i="1" s="1"/>
  <c r="F49" i="1"/>
  <c r="F50" i="1"/>
  <c r="F51" i="1"/>
  <c r="F52" i="1"/>
  <c r="G53" i="1"/>
  <c r="H53" i="1" s="1"/>
  <c r="D53" i="1"/>
  <c r="F53" i="1" s="1"/>
  <c r="G54" i="1"/>
  <c r="H54" i="1" s="1"/>
  <c r="D54" i="1"/>
  <c r="F54" i="1" s="1"/>
  <c r="H55" i="1"/>
  <c r="D55" i="1" s="1"/>
  <c r="F55" i="1"/>
  <c r="G56" i="1"/>
  <c r="H56" i="1"/>
  <c r="D56" i="1" s="1"/>
  <c r="F56" i="1" s="1"/>
  <c r="H57" i="1"/>
  <c r="D57" i="1"/>
  <c r="F57" i="1" s="1"/>
  <c r="F58" i="1"/>
  <c r="F59" i="1"/>
  <c r="H60" i="1"/>
  <c r="D60" i="1" s="1"/>
  <c r="F60" i="1" s="1"/>
  <c r="H61" i="1"/>
  <c r="H62" i="1"/>
  <c r="H63" i="1"/>
  <c r="F69" i="1"/>
  <c r="F70" i="1"/>
  <c r="F71" i="1"/>
  <c r="F72" i="1"/>
  <c r="F73" i="1"/>
  <c r="F76" i="1"/>
  <c r="F77" i="1"/>
  <c r="F78" i="1"/>
  <c r="F79" i="1"/>
  <c r="H80" i="1"/>
  <c r="D80" i="1"/>
  <c r="F80" i="1" s="1"/>
  <c r="H81" i="1"/>
  <c r="D81" i="1" s="1"/>
  <c r="F81" i="1" s="1"/>
  <c r="F82" i="1"/>
  <c r="H83" i="1"/>
  <c r="D83" i="1" s="1"/>
  <c r="F83" i="1"/>
  <c r="F84" i="1"/>
  <c r="G85" i="1"/>
  <c r="H85" i="1" s="1"/>
  <c r="D85" i="1" s="1"/>
  <c r="F85" i="1" s="1"/>
  <c r="F86" i="1"/>
  <c r="F87" i="1"/>
  <c r="F88" i="1"/>
  <c r="F89" i="1"/>
  <c r="H90" i="1"/>
  <c r="D90" i="1" s="1"/>
  <c r="F90" i="1" s="1"/>
  <c r="F91" i="1"/>
  <c r="F92" i="1"/>
  <c r="F94" i="1"/>
  <c r="G97" i="1"/>
  <c r="H97" i="1" s="1"/>
  <c r="F98" i="1"/>
  <c r="F99" i="1"/>
  <c r="H100" i="1"/>
  <c r="D100" i="1" s="1"/>
  <c r="H101" i="1"/>
  <c r="D101" i="1"/>
  <c r="F101" i="1" s="1"/>
  <c r="F102" i="1"/>
  <c r="F103" i="1"/>
  <c r="F104" i="1"/>
  <c r="F105" i="1"/>
  <c r="F106" i="1"/>
  <c r="F107" i="1"/>
  <c r="F108" i="1"/>
  <c r="F109" i="1"/>
  <c r="F110" i="1"/>
  <c r="F111" i="1"/>
  <c r="F112" i="1"/>
  <c r="H113" i="1"/>
  <c r="D113" i="1"/>
  <c r="F113" i="1" s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H128" i="1"/>
  <c r="D128" i="1" s="1"/>
  <c r="F128" i="1"/>
  <c r="F129" i="1"/>
  <c r="F130" i="1"/>
  <c r="G131" i="1"/>
  <c r="H131" i="1"/>
  <c r="D131" i="1" s="1"/>
  <c r="F131" i="1" s="1"/>
  <c r="G132" i="1"/>
  <c r="H132" i="1"/>
  <c r="D132" i="1" s="1"/>
  <c r="F132" i="1"/>
  <c r="G133" i="1"/>
  <c r="H133" i="1"/>
  <c r="D133" i="1" s="1"/>
  <c r="F133" i="1" s="1"/>
  <c r="H134" i="1"/>
  <c r="D134" i="1"/>
  <c r="F134" i="1" s="1"/>
  <c r="H135" i="1"/>
  <c r="D135" i="1" s="1"/>
  <c r="F135" i="1" s="1"/>
  <c r="H136" i="1"/>
  <c r="D136" i="1"/>
  <c r="F136" i="1" s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G156" i="1"/>
  <c r="H156" i="1"/>
  <c r="D156" i="1" s="1"/>
  <c r="F156" i="1" s="1"/>
  <c r="F157" i="1"/>
  <c r="F158" i="1"/>
  <c r="F159" i="1"/>
  <c r="H161" i="1"/>
  <c r="D161" i="1" s="1"/>
  <c r="F161" i="1"/>
  <c r="F162" i="1"/>
  <c r="F163" i="1"/>
  <c r="F164" i="1"/>
  <c r="F165" i="1"/>
  <c r="F168" i="1"/>
  <c r="F169" i="1"/>
  <c r="F170" i="1"/>
  <c r="F171" i="1"/>
  <c r="F172" i="1"/>
  <c r="F173" i="1"/>
  <c r="G167" i="1"/>
  <c r="H167" i="1"/>
  <c r="D167" i="1" s="1"/>
  <c r="G166" i="1"/>
  <c r="H166" i="1"/>
  <c r="D166" i="1" s="1"/>
  <c r="F166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H187" i="1"/>
  <c r="D187" i="1" s="1"/>
  <c r="F187" i="1" s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G204" i="1"/>
  <c r="H204" i="1"/>
  <c r="D204" i="1" s="1"/>
  <c r="F204" i="1"/>
  <c r="H205" i="1"/>
  <c r="D205" i="1"/>
  <c r="F205" i="1" s="1"/>
  <c r="H206" i="1"/>
  <c r="D206" i="1" s="1"/>
  <c r="F206" i="1"/>
  <c r="H207" i="1"/>
  <c r="D207" i="1"/>
  <c r="F207" i="1" s="1"/>
  <c r="H208" i="1"/>
  <c r="D208" i="1" s="1"/>
  <c r="F208" i="1"/>
  <c r="H209" i="1"/>
  <c r="D209" i="1"/>
  <c r="F209" i="1" s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H229" i="1"/>
  <c r="D229" i="1"/>
  <c r="F229" i="1" s="1"/>
  <c r="H230" i="1"/>
  <c r="D230" i="1" s="1"/>
  <c r="F230" i="1" s="1"/>
  <c r="H231" i="1"/>
  <c r="D231" i="1" s="1"/>
  <c r="F231" i="1"/>
  <c r="H232" i="1"/>
  <c r="D232" i="1"/>
  <c r="F232" i="1" s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G249" i="1"/>
  <c r="H249" i="1" s="1"/>
  <c r="D249" i="1"/>
  <c r="F249" i="1" s="1"/>
  <c r="F250" i="1"/>
  <c r="F251" i="1"/>
  <c r="H252" i="1"/>
  <c r="D252" i="1" s="1"/>
  <c r="F252" i="1"/>
  <c r="H253" i="1"/>
  <c r="D253" i="1"/>
  <c r="F253" i="1" s="1"/>
  <c r="H254" i="1"/>
  <c r="D254" i="1" s="1"/>
  <c r="F254" i="1"/>
  <c r="H255" i="1"/>
  <c r="D255" i="1"/>
  <c r="F255" i="1" s="1"/>
  <c r="H256" i="1"/>
  <c r="D256" i="1" s="1"/>
  <c r="F256" i="1"/>
  <c r="H257" i="1"/>
  <c r="D257" i="1"/>
  <c r="E1286" i="2" s="1"/>
  <c r="F258" i="1"/>
  <c r="F259" i="1"/>
  <c r="H260" i="1"/>
  <c r="D260" i="1"/>
  <c r="F260" i="1" s="1"/>
  <c r="H261" i="1"/>
  <c r="D261" i="1" s="1"/>
  <c r="F261" i="1"/>
  <c r="H262" i="1"/>
  <c r="D262" i="1"/>
  <c r="F262" i="1" s="1"/>
  <c r="H263" i="1"/>
  <c r="D263" i="1" s="1"/>
  <c r="F263" i="1"/>
  <c r="F264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H279" i="1"/>
  <c r="D279" i="1"/>
  <c r="F279" i="1" s="1"/>
  <c r="H280" i="1"/>
  <c r="D280" i="1" s="1"/>
  <c r="F280" i="1"/>
  <c r="F281" i="1"/>
  <c r="G282" i="1"/>
  <c r="H282" i="1" s="1"/>
  <c r="D282" i="1" s="1"/>
  <c r="F282" i="1" s="1"/>
  <c r="F284" i="1"/>
  <c r="F285" i="1"/>
  <c r="F286" i="1"/>
  <c r="F287" i="1"/>
  <c r="F288" i="1"/>
  <c r="F289" i="1"/>
  <c r="H290" i="1"/>
  <c r="D290" i="1" s="1"/>
  <c r="F290" i="1" s="1"/>
  <c r="H291" i="1"/>
  <c r="D291" i="1"/>
  <c r="F291" i="1" s="1"/>
  <c r="H292" i="1"/>
  <c r="D292" i="1" s="1"/>
  <c r="H293" i="1"/>
  <c r="D293" i="1" s="1"/>
  <c r="F293" i="1"/>
  <c r="H294" i="1"/>
  <c r="D294" i="1"/>
  <c r="F294" i="1" s="1"/>
  <c r="F295" i="1"/>
  <c r="F296" i="1"/>
  <c r="F297" i="1"/>
  <c r="F298" i="1"/>
  <c r="F299" i="1"/>
  <c r="G300" i="1"/>
  <c r="H300" i="1"/>
  <c r="D300" i="1" s="1"/>
  <c r="E255" i="2" s="1"/>
  <c r="F300" i="1"/>
  <c r="G301" i="1"/>
  <c r="H301" i="1"/>
  <c r="D301" i="1" s="1"/>
  <c r="E256" i="2" s="1"/>
  <c r="G302" i="1"/>
  <c r="H302" i="1"/>
  <c r="D302" i="1" s="1"/>
  <c r="F302" i="1"/>
  <c r="F303" i="1"/>
  <c r="F304" i="1"/>
  <c r="F305" i="1"/>
  <c r="F306" i="1"/>
  <c r="F307" i="1"/>
  <c r="F308" i="1"/>
  <c r="F309" i="1"/>
  <c r="H310" i="1"/>
  <c r="D310" i="1" s="1"/>
  <c r="F310" i="1" s="1"/>
  <c r="F311" i="1"/>
  <c r="G312" i="1"/>
  <c r="H312" i="1" s="1"/>
  <c r="D312" i="1"/>
  <c r="F312" i="1" s="1"/>
  <c r="H313" i="1"/>
  <c r="D313" i="1" s="1"/>
  <c r="F313" i="1"/>
  <c r="H314" i="1"/>
  <c r="D314" i="1"/>
  <c r="F314" i="1" s="1"/>
  <c r="H315" i="1"/>
  <c r="D315" i="1" s="1"/>
  <c r="F315" i="1"/>
  <c r="H316" i="1"/>
  <c r="D316" i="1"/>
  <c r="F316" i="1" s="1"/>
  <c r="H317" i="1"/>
  <c r="D317" i="1" s="1"/>
  <c r="F317" i="1"/>
  <c r="F318" i="1"/>
  <c r="F319" i="1"/>
  <c r="F320" i="1"/>
  <c r="H321" i="1"/>
  <c r="D321" i="1" s="1"/>
  <c r="E1346" i="2" s="1"/>
  <c r="F1346" i="2" s="1"/>
  <c r="H322" i="1"/>
  <c r="D322" i="1"/>
  <c r="F322" i="1" s="1"/>
  <c r="F323" i="1"/>
  <c r="F324" i="1"/>
  <c r="F325" i="1"/>
  <c r="F326" i="1"/>
  <c r="F327" i="1"/>
  <c r="F328" i="1"/>
  <c r="F329" i="1"/>
  <c r="F330" i="1"/>
  <c r="F4" i="1"/>
  <c r="E333" i="2"/>
  <c r="D337" i="2"/>
  <c r="E335" i="2"/>
  <c r="F335" i="2"/>
  <c r="F333" i="2"/>
  <c r="E334" i="2"/>
  <c r="F334" i="2" s="1"/>
  <c r="D324" i="2"/>
  <c r="E322" i="2"/>
  <c r="F322" i="2"/>
  <c r="D624" i="2"/>
  <c r="D618" i="2"/>
  <c r="D612" i="2"/>
  <c r="E626" i="2"/>
  <c r="F626" i="2" s="1"/>
  <c r="E627" i="2"/>
  <c r="F627" i="2" s="1"/>
  <c r="E620" i="2"/>
  <c r="F620" i="2" s="1"/>
  <c r="E621" i="2"/>
  <c r="F621" i="2" s="1"/>
  <c r="E622" i="2"/>
  <c r="F622" i="2" s="1"/>
  <c r="E618" i="2"/>
  <c r="E614" i="2"/>
  <c r="F614" i="2" s="1"/>
  <c r="E616" i="2" s="1"/>
  <c r="F616" i="2" s="1"/>
  <c r="E615" i="2"/>
  <c r="F615" i="2" s="1"/>
  <c r="D1300" i="2"/>
  <c r="E1298" i="2"/>
  <c r="F1298" i="2"/>
  <c r="E1297" i="2"/>
  <c r="F1297" i="2"/>
  <c r="E1296" i="2"/>
  <c r="F1296" i="2"/>
  <c r="E1295" i="2"/>
  <c r="F1295" i="2"/>
  <c r="E1289" i="2"/>
  <c r="F1289" i="2"/>
  <c r="E1288" i="2"/>
  <c r="F1288" i="2"/>
  <c r="D1284" i="2"/>
  <c r="E1282" i="2"/>
  <c r="F1282" i="2" s="1"/>
  <c r="E1284" i="2" s="1"/>
  <c r="F1284" i="2" s="1"/>
  <c r="E1283" i="2"/>
  <c r="F1283" i="2" s="1"/>
  <c r="E1281" i="2"/>
  <c r="F1281" i="2" s="1"/>
  <c r="E1280" i="2"/>
  <c r="F1280" i="2" s="1"/>
  <c r="E1279" i="2"/>
  <c r="F1279" i="2" s="1"/>
  <c r="E1278" i="2"/>
  <c r="F1278" i="2" s="1"/>
  <c r="E1272" i="2"/>
  <c r="F1272" i="2" s="1"/>
  <c r="E1273" i="2"/>
  <c r="F1273" i="2" s="1"/>
  <c r="E608" i="2"/>
  <c r="F608" i="2" s="1"/>
  <c r="E610" i="2"/>
  <c r="F610" i="2" s="1"/>
  <c r="E609" i="2"/>
  <c r="F609" i="2" s="1"/>
  <c r="E605" i="2"/>
  <c r="F605" i="2" s="1"/>
  <c r="E607" i="2" s="1"/>
  <c r="F607" i="2" s="1"/>
  <c r="E606" i="2"/>
  <c r="F606" i="2" s="1"/>
  <c r="E601" i="2"/>
  <c r="F601" i="2" s="1"/>
  <c r="E602" i="2"/>
  <c r="F602" i="2" s="1"/>
  <c r="E598" i="2"/>
  <c r="F598" i="2" s="1"/>
  <c r="E599" i="2"/>
  <c r="F599" i="2" s="1"/>
  <c r="E594" i="2"/>
  <c r="F594" i="2" s="1"/>
  <c r="E596" i="2"/>
  <c r="F596" i="2" s="1"/>
  <c r="E595" i="2"/>
  <c r="F595" i="2" s="1"/>
  <c r="E591" i="2"/>
  <c r="F591" i="2" s="1"/>
  <c r="E592" i="2"/>
  <c r="F592" i="2" s="1"/>
  <c r="A12" i="2"/>
  <c r="D1419" i="2"/>
  <c r="E1417" i="2"/>
  <c r="F1417" i="2" s="1"/>
  <c r="E1418" i="2"/>
  <c r="F1418" i="2" s="1"/>
  <c r="E1413" i="2"/>
  <c r="F1413" i="2" s="1"/>
  <c r="E1414" i="2"/>
  <c r="F1414" i="2" s="1"/>
  <c r="E1415" i="2"/>
  <c r="F1415" i="2" s="1"/>
  <c r="D1411" i="2"/>
  <c r="E1405" i="2"/>
  <c r="F1405" i="2"/>
  <c r="E1406" i="2"/>
  <c r="F1406" i="2"/>
  <c r="E1407" i="2"/>
  <c r="F1407" i="2"/>
  <c r="E852" i="2"/>
  <c r="F852" i="2"/>
  <c r="D1559" i="2"/>
  <c r="E1556" i="2"/>
  <c r="F1556" i="2" s="1"/>
  <c r="E1558" i="2"/>
  <c r="F1558" i="2" s="1"/>
  <c r="E1555" i="2"/>
  <c r="F1555" i="2" s="1"/>
  <c r="E1553" i="2"/>
  <c r="F1553" i="2" s="1"/>
  <c r="E1551" i="2"/>
  <c r="F1551" i="2" s="1"/>
  <c r="E850" i="2"/>
  <c r="F850" i="2" s="1"/>
  <c r="E845" i="2"/>
  <c r="F845" i="2" s="1"/>
  <c r="E846" i="2"/>
  <c r="F846" i="2" s="1"/>
  <c r="E847" i="2"/>
  <c r="F847" i="2" s="1"/>
  <c r="E842" i="2"/>
  <c r="F842" i="2" s="1"/>
  <c r="E843" i="2"/>
  <c r="F843" i="2" s="1"/>
  <c r="E844" i="2" s="1"/>
  <c r="F844" i="2" s="1"/>
  <c r="F841" i="2" s="1"/>
  <c r="E1360" i="2"/>
  <c r="E1356" i="2"/>
  <c r="E1357" i="2"/>
  <c r="E1358" i="2"/>
  <c r="E1355" i="2"/>
  <c r="E838" i="2"/>
  <c r="F838" i="2"/>
  <c r="E836" i="2"/>
  <c r="F836" i="2"/>
  <c r="D833" i="2"/>
  <c r="E832" i="2"/>
  <c r="F832" i="2" s="1"/>
  <c r="E833" i="2"/>
  <c r="F833" i="2" s="1"/>
  <c r="E829" i="2"/>
  <c r="F829" i="2" s="1"/>
  <c r="E831" i="2"/>
  <c r="F831" i="2" s="1"/>
  <c r="E830" i="2"/>
  <c r="F830" i="2" s="1"/>
  <c r="F1360" i="2"/>
  <c r="F1355" i="2"/>
  <c r="F1356" i="2"/>
  <c r="F1357" i="2"/>
  <c r="F1358" i="2"/>
  <c r="E1359" i="2"/>
  <c r="F1359" i="2" s="1"/>
  <c r="D1353" i="2"/>
  <c r="E1351" i="2"/>
  <c r="F1351" i="2"/>
  <c r="E1347" i="2"/>
  <c r="F1347" i="2"/>
  <c r="E1349" i="2"/>
  <c r="F1349" i="2"/>
  <c r="D213" i="2"/>
  <c r="E211" i="2"/>
  <c r="F211" i="2" s="1"/>
  <c r="E213" i="2" s="1"/>
  <c r="F213" i="2" s="1"/>
  <c r="E212" i="2"/>
  <c r="F212" i="2" s="1"/>
  <c r="E209" i="2"/>
  <c r="F209" i="2" s="1"/>
  <c r="D195" i="2"/>
  <c r="D207" i="2"/>
  <c r="E205" i="2"/>
  <c r="F205" i="2" s="1"/>
  <c r="E207" i="2" s="1"/>
  <c r="F207" i="2" s="1"/>
  <c r="E206" i="2"/>
  <c r="F206" i="2" s="1"/>
  <c r="E203" i="2"/>
  <c r="F203" i="2" s="1"/>
  <c r="D201" i="2"/>
  <c r="D189" i="2"/>
  <c r="E187" i="2"/>
  <c r="F187" i="2" s="1"/>
  <c r="E189" i="2" s="1"/>
  <c r="F189" i="2" s="1"/>
  <c r="E188" i="2"/>
  <c r="F188" i="2" s="1"/>
  <c r="E185" i="2"/>
  <c r="F185" i="2" s="1"/>
  <c r="D183" i="2"/>
  <c r="E881" i="2"/>
  <c r="F881" i="2"/>
  <c r="E882" i="2"/>
  <c r="F882" i="2"/>
  <c r="E883" i="2"/>
  <c r="F883" i="2"/>
  <c r="E884" i="2"/>
  <c r="F884" i="2"/>
  <c r="E886" i="2"/>
  <c r="F886" i="2"/>
  <c r="E888" i="2"/>
  <c r="F888" i="2"/>
  <c r="D890" i="2"/>
  <c r="E252" i="2"/>
  <c r="F252" i="2" s="1"/>
  <c r="E253" i="2"/>
  <c r="D253" i="2"/>
  <c r="F253" i="2"/>
  <c r="F255" i="2"/>
  <c r="D256" i="2"/>
  <c r="E257" i="2"/>
  <c r="D257" i="2"/>
  <c r="F257" i="2"/>
  <c r="E258" i="2"/>
  <c r="F258" i="2"/>
  <c r="E259" i="2"/>
  <c r="F259" i="2"/>
  <c r="E260" i="2"/>
  <c r="F260" i="2"/>
  <c r="E261" i="2"/>
  <c r="F261" i="2"/>
  <c r="E263" i="2"/>
  <c r="F263" i="2"/>
  <c r="E264" i="2"/>
  <c r="F264" i="2"/>
  <c r="D265" i="2"/>
  <c r="E265" i="2"/>
  <c r="F265" i="2" s="1"/>
  <c r="D295" i="2"/>
  <c r="E293" i="2"/>
  <c r="F293" i="2"/>
  <c r="E294" i="2"/>
  <c r="F294" i="2"/>
  <c r="E282" i="2"/>
  <c r="F282" i="2"/>
  <c r="D283" i="2"/>
  <c r="D286" i="2"/>
  <c r="F286" i="2" s="1"/>
  <c r="E283" i="2"/>
  <c r="F283" i="2" s="1"/>
  <c r="E284" i="2"/>
  <c r="F284" i="2" s="1"/>
  <c r="E285" i="2"/>
  <c r="F285" i="2" s="1"/>
  <c r="E286" i="2"/>
  <c r="D287" i="2"/>
  <c r="E287" i="2"/>
  <c r="F287" i="2" s="1"/>
  <c r="E288" i="2"/>
  <c r="F288" i="2" s="1"/>
  <c r="E289" i="2"/>
  <c r="F289" i="2" s="1"/>
  <c r="E290" i="2"/>
  <c r="F290" i="2" s="1"/>
  <c r="E291" i="2"/>
  <c r="F291" i="2" s="1"/>
  <c r="E271" i="2"/>
  <c r="D268" i="2"/>
  <c r="D271" i="2"/>
  <c r="F271" i="2" s="1"/>
  <c r="E272" i="2"/>
  <c r="D272" i="2"/>
  <c r="F272" i="2"/>
  <c r="G307" i="1"/>
  <c r="H307" i="1"/>
  <c r="H303" i="1"/>
  <c r="H304" i="1"/>
  <c r="H305" i="1"/>
  <c r="H171" i="1"/>
  <c r="H172" i="1"/>
  <c r="H173" i="1"/>
  <c r="D280" i="2"/>
  <c r="E278" i="2"/>
  <c r="F278" i="2" s="1"/>
  <c r="E279" i="2"/>
  <c r="F279" i="2" s="1"/>
  <c r="E267" i="2"/>
  <c r="F267" i="2" s="1"/>
  <c r="E268" i="2"/>
  <c r="F268" i="2" s="1"/>
  <c r="E269" i="2"/>
  <c r="F269" i="2" s="1"/>
  <c r="E270" i="2"/>
  <c r="F270" i="2" s="1"/>
  <c r="E273" i="2"/>
  <c r="F273" i="2" s="1"/>
  <c r="E274" i="2"/>
  <c r="F274" i="2" s="1"/>
  <c r="E275" i="2"/>
  <c r="F275" i="2" s="1"/>
  <c r="E276" i="2"/>
  <c r="F276" i="2" s="1"/>
  <c r="H168" i="1"/>
  <c r="H169" i="1"/>
  <c r="H170" i="1"/>
  <c r="H7" i="1"/>
  <c r="D356" i="2"/>
  <c r="E354" i="2"/>
  <c r="F354" i="2"/>
  <c r="E356" i="2" s="1"/>
  <c r="F356" i="2" s="1"/>
  <c r="E355" i="2"/>
  <c r="F355" i="2"/>
  <c r="E351" i="2"/>
  <c r="F351" i="2"/>
  <c r="E352" i="2"/>
  <c r="F352" i="2"/>
  <c r="D1608" i="2"/>
  <c r="D1368" i="2"/>
  <c r="D1344" i="2"/>
  <c r="D1335" i="2"/>
  <c r="D1326" i="2"/>
  <c r="D1317" i="2"/>
  <c r="D1599" i="2"/>
  <c r="D1592" i="2"/>
  <c r="D1584" i="2"/>
  <c r="D827" i="2"/>
  <c r="D821" i="2"/>
  <c r="D815" i="2"/>
  <c r="D807" i="2"/>
  <c r="D800" i="2"/>
  <c r="D793" i="2"/>
  <c r="D786" i="2"/>
  <c r="D779" i="2"/>
  <c r="D769" i="2"/>
  <c r="D758" i="2"/>
  <c r="D751" i="2"/>
  <c r="D744" i="2"/>
  <c r="D737" i="2"/>
  <c r="D730" i="2"/>
  <c r="D723" i="2"/>
  <c r="D715" i="2"/>
  <c r="D708" i="2"/>
  <c r="D701" i="2"/>
  <c r="D698" i="2"/>
  <c r="D695" i="2"/>
  <c r="D688" i="2"/>
  <c r="D682" i="2"/>
  <c r="D676" i="2"/>
  <c r="D672" i="2"/>
  <c r="D664" i="2"/>
  <c r="D658" i="2"/>
  <c r="D1549" i="2"/>
  <c r="D1308" i="2"/>
  <c r="D1292" i="2"/>
  <c r="D1276" i="2"/>
  <c r="D1268" i="2"/>
  <c r="D1260" i="2"/>
  <c r="D1252" i="2"/>
  <c r="D1244" i="2"/>
  <c r="D1236" i="2"/>
  <c r="D1228" i="2"/>
  <c r="D1220" i="2"/>
  <c r="D1212" i="2"/>
  <c r="D650" i="2"/>
  <c r="D643" i="2"/>
  <c r="D638" i="2"/>
  <c r="D633" i="2"/>
  <c r="D1204" i="2"/>
  <c r="D1195" i="2"/>
  <c r="D1186" i="2"/>
  <c r="D1179" i="2"/>
  <c r="D1172" i="2"/>
  <c r="D1165" i="2"/>
  <c r="D1159" i="2"/>
  <c r="D1153" i="2"/>
  <c r="D1146" i="2"/>
  <c r="D1139" i="2"/>
  <c r="D589" i="2"/>
  <c r="D581" i="2"/>
  <c r="D573" i="2"/>
  <c r="D1132" i="2"/>
  <c r="D1125" i="2"/>
  <c r="D565" i="2"/>
  <c r="D551" i="2"/>
  <c r="D537" i="2"/>
  <c r="D523" i="2"/>
  <c r="D511" i="2"/>
  <c r="D500" i="2"/>
  <c r="D489" i="2"/>
  <c r="D1106" i="2"/>
  <c r="D477" i="2"/>
  <c r="D1101" i="2"/>
  <c r="D1096" i="2"/>
  <c r="D1535" i="2"/>
  <c r="D1527" i="2"/>
  <c r="D1521" i="2"/>
  <c r="D1515" i="2"/>
  <c r="D1091" i="2"/>
  <c r="D470" i="2"/>
  <c r="D466" i="2"/>
  <c r="D461" i="2"/>
  <c r="D1509" i="2"/>
  <c r="D1499" i="2"/>
  <c r="D1489" i="2"/>
  <c r="D1478" i="2"/>
  <c r="D1084" i="2"/>
  <c r="D1079" i="2"/>
  <c r="D1074" i="2"/>
  <c r="D1069" i="2"/>
  <c r="D1064" i="2"/>
  <c r="D449" i="2"/>
  <c r="D441" i="2"/>
  <c r="D434" i="2"/>
  <c r="D426" i="2"/>
  <c r="D419" i="2"/>
  <c r="D411" i="2"/>
  <c r="D403" i="2"/>
  <c r="D396" i="2"/>
  <c r="D388" i="2"/>
  <c r="D1059" i="2"/>
  <c r="D1052" i="2"/>
  <c r="D1045" i="2"/>
  <c r="D1036" i="2"/>
  <c r="D380" i="2"/>
  <c r="D372" i="2"/>
  <c r="D364" i="2"/>
  <c r="D1028" i="2"/>
  <c r="D1023" i="2"/>
  <c r="D348" i="2"/>
  <c r="D343" i="2"/>
  <c r="D331" i="2"/>
  <c r="D318" i="2"/>
  <c r="D310" i="2"/>
  <c r="D302" i="2"/>
  <c r="D250" i="2"/>
  <c r="D243" i="2"/>
  <c r="D236" i="2"/>
  <c r="D228" i="2"/>
  <c r="D220" i="2"/>
  <c r="D1018" i="2"/>
  <c r="D177" i="2"/>
  <c r="D170" i="2"/>
  <c r="D1012" i="2"/>
  <c r="D1003" i="2"/>
  <c r="D994" i="2"/>
  <c r="D167" i="2"/>
  <c r="D160" i="2"/>
  <c r="D1118" i="2"/>
  <c r="D1112" i="2"/>
  <c r="D1470" i="2"/>
  <c r="D1460" i="2"/>
  <c r="D1450" i="2"/>
  <c r="D153" i="2"/>
  <c r="D148" i="2"/>
  <c r="D140" i="2"/>
  <c r="D130" i="2"/>
  <c r="D985" i="2"/>
  <c r="D980" i="2"/>
  <c r="D975" i="2"/>
  <c r="D970" i="2"/>
  <c r="D965" i="2"/>
  <c r="D957" i="2"/>
  <c r="D949" i="2"/>
  <c r="D1444" i="2"/>
  <c r="D1436" i="2"/>
  <c r="D1428" i="2"/>
  <c r="D1403" i="2"/>
  <c r="D941" i="2"/>
  <c r="D930" i="2"/>
  <c r="D120" i="2"/>
  <c r="D114" i="2"/>
  <c r="D1569" i="2"/>
  <c r="D1395" i="2"/>
  <c r="D1383" i="2"/>
  <c r="D921" i="2"/>
  <c r="D914" i="2"/>
  <c r="D906" i="2"/>
  <c r="D901" i="2"/>
  <c r="D879" i="2"/>
  <c r="D873" i="2"/>
  <c r="D867" i="2"/>
  <c r="D91" i="2"/>
  <c r="D81" i="2"/>
  <c r="D71" i="2"/>
  <c r="D61" i="2"/>
  <c r="D51" i="2"/>
  <c r="D41" i="2"/>
  <c r="D108" i="2"/>
  <c r="D100" i="2"/>
  <c r="D11" i="2"/>
  <c r="D21" i="2"/>
  <c r="D31" i="2"/>
  <c r="E1566" i="2"/>
  <c r="F1566" i="2"/>
  <c r="E1568" i="2"/>
  <c r="F1568" i="2"/>
  <c r="E1565" i="2"/>
  <c r="F1565" i="2"/>
  <c r="E1563" i="2"/>
  <c r="F1563" i="2"/>
  <c r="E1393" i="2"/>
  <c r="F1393" i="2" s="1"/>
  <c r="E1394" i="2"/>
  <c r="F1394" i="2" s="1"/>
  <c r="E1395" i="2"/>
  <c r="F1395" i="2" s="1"/>
  <c r="E1385" i="2"/>
  <c r="F1385" i="2" s="1"/>
  <c r="E1386" i="2"/>
  <c r="F1386" i="2"/>
  <c r="E1388" i="2"/>
  <c r="F1388" i="2"/>
  <c r="E1389" i="2"/>
  <c r="F1389" i="2"/>
  <c r="E1390" i="2"/>
  <c r="F1390" i="2"/>
  <c r="E1391" i="2"/>
  <c r="F1391" i="2"/>
  <c r="G49" i="1"/>
  <c r="E893" i="2"/>
  <c r="F893" i="2" s="1"/>
  <c r="G309" i="1"/>
  <c r="E925" i="2"/>
  <c r="F925" i="2"/>
  <c r="I80" i="2"/>
  <c r="I90" i="2"/>
  <c r="K90" i="2" s="1"/>
  <c r="I79" i="2"/>
  <c r="I89" i="2" s="1"/>
  <c r="K89" i="2" s="1"/>
  <c r="K80" i="2"/>
  <c r="I70" i="2"/>
  <c r="K70" i="2" s="1"/>
  <c r="I69" i="2"/>
  <c r="K69" i="2" s="1"/>
  <c r="I50" i="2"/>
  <c r="I60" i="2" s="1"/>
  <c r="K60" i="2"/>
  <c r="I49" i="2"/>
  <c r="I59" i="2"/>
  <c r="K59" i="2" s="1"/>
  <c r="I40" i="2"/>
  <c r="I39" i="2"/>
  <c r="K39" i="2" s="1"/>
  <c r="K50" i="2"/>
  <c r="K49" i="2"/>
  <c r="I99" i="2"/>
  <c r="I98" i="2"/>
  <c r="K40" i="2"/>
  <c r="K107" i="2"/>
  <c r="K106" i="2"/>
  <c r="K99" i="2"/>
  <c r="K98" i="2"/>
  <c r="D85" i="2"/>
  <c r="F85" i="2" s="1"/>
  <c r="D75" i="2"/>
  <c r="D65" i="2"/>
  <c r="F65" i="2" s="1"/>
  <c r="E89" i="2"/>
  <c r="F89" i="2"/>
  <c r="E90" i="2"/>
  <c r="F90" i="2"/>
  <c r="E83" i="2"/>
  <c r="F83" i="2"/>
  <c r="E84" i="2"/>
  <c r="F84" i="2"/>
  <c r="E85" i="2"/>
  <c r="F86" i="2"/>
  <c r="D87" i="2"/>
  <c r="E87" i="2"/>
  <c r="F87" i="2" s="1"/>
  <c r="E79" i="2"/>
  <c r="F79" i="2" s="1"/>
  <c r="E80" i="2"/>
  <c r="F80" i="2" s="1"/>
  <c r="E81" i="2" s="1"/>
  <c r="F81" i="2" s="1"/>
  <c r="E73" i="2"/>
  <c r="F73" i="2" s="1"/>
  <c r="E74" i="2"/>
  <c r="F74" i="2" s="1"/>
  <c r="E75" i="2"/>
  <c r="D77" i="2"/>
  <c r="E77" i="2"/>
  <c r="F77" i="2" s="1"/>
  <c r="E69" i="2"/>
  <c r="F69" i="2" s="1"/>
  <c r="E70" i="2"/>
  <c r="F70" i="2" s="1"/>
  <c r="E71" i="2"/>
  <c r="E63" i="2"/>
  <c r="F63" i="2" s="1"/>
  <c r="E64" i="2"/>
  <c r="F64" i="2" s="1"/>
  <c r="E65" i="2"/>
  <c r="E66" i="2"/>
  <c r="F66" i="2" s="1"/>
  <c r="D67" i="2"/>
  <c r="F67" i="2"/>
  <c r="E49" i="2"/>
  <c r="F49" i="2"/>
  <c r="E50" i="2"/>
  <c r="F50" i="2"/>
  <c r="E43" i="2"/>
  <c r="F43" i="2"/>
  <c r="E44" i="2"/>
  <c r="F44" i="2"/>
  <c r="E45" i="2"/>
  <c r="F45" i="2"/>
  <c r="D47" i="2"/>
  <c r="E47" i="2"/>
  <c r="F47" i="2" s="1"/>
  <c r="E59" i="2"/>
  <c r="F59" i="2" s="1"/>
  <c r="E60" i="2"/>
  <c r="F60" i="2" s="1"/>
  <c r="E61" i="2" s="1"/>
  <c r="F61" i="2" s="1"/>
  <c r="E53" i="2"/>
  <c r="F53" i="2" s="1"/>
  <c r="E54" i="2"/>
  <c r="F54" i="2" s="1"/>
  <c r="E55" i="2"/>
  <c r="F55" i="2" s="1"/>
  <c r="E56" i="2"/>
  <c r="F56" i="2" s="1"/>
  <c r="D57" i="2"/>
  <c r="E39" i="2"/>
  <c r="F39" i="2"/>
  <c r="E40" i="2"/>
  <c r="F40" i="2"/>
  <c r="E33" i="2"/>
  <c r="F33" i="2"/>
  <c r="E34" i="2"/>
  <c r="F34" i="2"/>
  <c r="D37" i="2"/>
  <c r="E37" i="2"/>
  <c r="F37" i="2" s="1"/>
  <c r="E23" i="2"/>
  <c r="F23" i="2" s="1"/>
  <c r="E24" i="2"/>
  <c r="F24" i="2" s="1"/>
  <c r="E25" i="2"/>
  <c r="F25" i="2" s="1"/>
  <c r="E26" i="2"/>
  <c r="F26" i="2" s="1"/>
  <c r="E27" i="2"/>
  <c r="D27" i="2"/>
  <c r="F27" i="2"/>
  <c r="E13" i="2"/>
  <c r="F13" i="2"/>
  <c r="E14" i="2"/>
  <c r="F14" i="2"/>
  <c r="E15" i="2"/>
  <c r="F15" i="2"/>
  <c r="D17" i="2"/>
  <c r="H11" i="1"/>
  <c r="K30" i="2"/>
  <c r="K29" i="2"/>
  <c r="E29" i="2"/>
  <c r="F29" i="2"/>
  <c r="E30" i="2"/>
  <c r="F30" i="2"/>
  <c r="K20" i="2"/>
  <c r="K19" i="2"/>
  <c r="E6" i="2"/>
  <c r="H5" i="1"/>
  <c r="H6" i="1"/>
  <c r="H9" i="1"/>
  <c r="H10" i="1"/>
  <c r="H8" i="1"/>
  <c r="H12" i="1"/>
  <c r="H15" i="1"/>
  <c r="H16" i="1"/>
  <c r="H18" i="1"/>
  <c r="H19" i="1"/>
  <c r="H22" i="1"/>
  <c r="H23" i="1"/>
  <c r="H24" i="1"/>
  <c r="H25" i="1"/>
  <c r="H26" i="1"/>
  <c r="H28" i="1"/>
  <c r="H27" i="1"/>
  <c r="H35" i="1"/>
  <c r="H36" i="1"/>
  <c r="H309" i="1"/>
  <c r="H40" i="1"/>
  <c r="H43" i="1"/>
  <c r="H44" i="1"/>
  <c r="H45" i="1"/>
  <c r="H46" i="1"/>
  <c r="H49" i="1"/>
  <c r="H50" i="1"/>
  <c r="H51" i="1"/>
  <c r="H52" i="1"/>
  <c r="H58" i="1"/>
  <c r="H59" i="1"/>
  <c r="H67" i="1"/>
  <c r="H68" i="1"/>
  <c r="H69" i="1"/>
  <c r="H70" i="1"/>
  <c r="H71" i="1"/>
  <c r="H72" i="1"/>
  <c r="H73" i="1"/>
  <c r="H74" i="1"/>
  <c r="H76" i="1"/>
  <c r="H77" i="1"/>
  <c r="H78" i="1"/>
  <c r="H79" i="1"/>
  <c r="H82" i="1"/>
  <c r="H84" i="1"/>
  <c r="H86" i="1"/>
  <c r="H87" i="1"/>
  <c r="H88" i="1"/>
  <c r="H89" i="1"/>
  <c r="H91" i="1"/>
  <c r="H92" i="1"/>
  <c r="H94" i="1"/>
  <c r="H98" i="1"/>
  <c r="H99" i="1"/>
  <c r="H102" i="1"/>
  <c r="H103" i="1"/>
  <c r="H104" i="1"/>
  <c r="H105" i="1"/>
  <c r="H106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9" i="1"/>
  <c r="H130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2" i="1"/>
  <c r="H163" i="1"/>
  <c r="H164" i="1"/>
  <c r="H165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50" i="1"/>
  <c r="H251" i="1"/>
  <c r="H258" i="1"/>
  <c r="H259" i="1"/>
  <c r="H264" i="1"/>
  <c r="H266" i="1"/>
  <c r="H267" i="1"/>
  <c r="H268" i="1"/>
  <c r="H269" i="1"/>
  <c r="H271" i="1"/>
  <c r="H272" i="1"/>
  <c r="H273" i="1"/>
  <c r="H274" i="1"/>
  <c r="H275" i="1"/>
  <c r="H276" i="1"/>
  <c r="H277" i="1"/>
  <c r="H278" i="1"/>
  <c r="H281" i="1"/>
  <c r="H284" i="1"/>
  <c r="H285" i="1"/>
  <c r="H286" i="1"/>
  <c r="H287" i="1"/>
  <c r="H288" i="1"/>
  <c r="H289" i="1"/>
  <c r="H295" i="1"/>
  <c r="H296" i="1"/>
  <c r="H297" i="1"/>
  <c r="H298" i="1"/>
  <c r="H299" i="1"/>
  <c r="H306" i="1"/>
  <c r="H308" i="1"/>
  <c r="H311" i="1"/>
  <c r="H318" i="1"/>
  <c r="H319" i="1"/>
  <c r="H320" i="1"/>
  <c r="H323" i="1"/>
  <c r="H324" i="1"/>
  <c r="H325" i="1"/>
  <c r="H326" i="1"/>
  <c r="H327" i="1"/>
  <c r="H328" i="1"/>
  <c r="H329" i="1"/>
  <c r="H330" i="1"/>
  <c r="H4" i="1"/>
  <c r="E1601" i="2"/>
  <c r="F1601" i="2" s="1"/>
  <c r="E1602" i="2"/>
  <c r="F1602" i="2" s="1"/>
  <c r="E1605" i="2" s="1"/>
  <c r="F1605" i="2" s="1"/>
  <c r="E1603" i="2"/>
  <c r="F1603" i="2" s="1"/>
  <c r="E1604" i="2"/>
  <c r="F1604" i="2" s="1"/>
  <c r="E1607" i="2"/>
  <c r="F1607" i="2" s="1"/>
  <c r="E1364" i="2"/>
  <c r="F1364" i="2" s="1"/>
  <c r="E1365" i="2"/>
  <c r="F1365" i="2" s="1"/>
  <c r="E1367" i="2"/>
  <c r="F1367" i="2" s="1"/>
  <c r="E1368" i="2" s="1"/>
  <c r="E1337" i="2"/>
  <c r="F1337" i="2" s="1"/>
  <c r="E1341" i="2" s="1"/>
  <c r="F1341" i="2" s="1"/>
  <c r="E1338" i="2"/>
  <c r="F1338" i="2" s="1"/>
  <c r="E1339" i="2"/>
  <c r="F1339" i="2" s="1"/>
  <c r="E1340" i="2"/>
  <c r="F1340" i="2" s="1"/>
  <c r="E1342" i="2"/>
  <c r="F1342" i="2" s="1"/>
  <c r="E1344" i="2"/>
  <c r="F1344" i="2" s="1"/>
  <c r="E1343" i="2"/>
  <c r="F1343" i="2" s="1"/>
  <c r="E1328" i="2"/>
  <c r="F1328" i="2" s="1"/>
  <c r="E1329" i="2"/>
  <c r="F1329" i="2" s="1"/>
  <c r="E1330" i="2"/>
  <c r="F1330" i="2" s="1"/>
  <c r="E1331" i="2"/>
  <c r="F1331" i="2" s="1"/>
  <c r="E1333" i="2"/>
  <c r="F1333" i="2" s="1"/>
  <c r="E1334" i="2"/>
  <c r="F1334" i="2" s="1"/>
  <c r="E1319" i="2"/>
  <c r="F1319" i="2" s="1"/>
  <c r="E1323" i="2" s="1"/>
  <c r="F1323" i="2" s="1"/>
  <c r="E1320" i="2"/>
  <c r="F1320" i="2" s="1"/>
  <c r="E1321" i="2"/>
  <c r="F1321" i="2" s="1"/>
  <c r="E1322" i="2"/>
  <c r="F1322" i="2" s="1"/>
  <c r="E1324" i="2"/>
  <c r="F1324" i="2" s="1"/>
  <c r="E1326" i="2"/>
  <c r="F1326" i="2" s="1"/>
  <c r="E1325" i="2"/>
  <c r="F1325" i="2" s="1"/>
  <c r="E1310" i="2"/>
  <c r="F1310" i="2" s="1"/>
  <c r="E1311" i="2"/>
  <c r="F1311" i="2" s="1"/>
  <c r="E1312" i="2"/>
  <c r="F1312" i="2" s="1"/>
  <c r="E1313" i="2"/>
  <c r="F1313" i="2" s="1"/>
  <c r="E1315" i="2"/>
  <c r="F1315" i="2" s="1"/>
  <c r="E1316" i="2"/>
  <c r="F1316" i="2" s="1"/>
  <c r="E1594" i="2"/>
  <c r="F1594" i="2" s="1"/>
  <c r="E1596" i="2" s="1"/>
  <c r="F1596" i="2" s="1"/>
  <c r="E1595" i="2"/>
  <c r="F1595" i="2" s="1"/>
  <c r="E1597" i="2"/>
  <c r="F1597" i="2" s="1"/>
  <c r="E1599" i="2"/>
  <c r="F1599" i="2" s="1"/>
  <c r="E1598" i="2"/>
  <c r="F1598" i="2" s="1"/>
  <c r="E1586" i="2"/>
  <c r="F1586" i="2" s="1"/>
  <c r="E1587" i="2"/>
  <c r="F1587" i="2" s="1"/>
  <c r="E1588" i="2"/>
  <c r="F1588" i="2" s="1"/>
  <c r="E1590" i="2"/>
  <c r="F1590" i="2" s="1"/>
  <c r="E1592" i="2"/>
  <c r="E1591" i="2"/>
  <c r="F1591" i="2" s="1"/>
  <c r="E1571" i="2"/>
  <c r="F1571" i="2" s="1"/>
  <c r="E1572" i="2"/>
  <c r="F1572" i="2" s="1"/>
  <c r="E1573" i="2"/>
  <c r="F1573" i="2" s="1"/>
  <c r="E1574" i="2"/>
  <c r="F1574" i="2" s="1"/>
  <c r="E1575" i="2"/>
  <c r="F1575" i="2" s="1"/>
  <c r="E1576" i="2"/>
  <c r="F1576" i="2" s="1"/>
  <c r="E326" i="2"/>
  <c r="F326" i="2" s="1"/>
  <c r="E328" i="2" s="1"/>
  <c r="F328" i="2" s="1"/>
  <c r="E327" i="2"/>
  <c r="F327" i="2" s="1"/>
  <c r="E329" i="2"/>
  <c r="F329" i="2" s="1"/>
  <c r="E331" i="2"/>
  <c r="F331" i="2" s="1"/>
  <c r="E330" i="2"/>
  <c r="F330" i="2" s="1"/>
  <c r="E1578" i="2"/>
  <c r="F1578" i="2" s="1"/>
  <c r="E1579" i="2"/>
  <c r="F1579" i="2" s="1"/>
  <c r="E1580" i="2"/>
  <c r="F1580" i="2" s="1"/>
  <c r="E1582" i="2"/>
  <c r="F1582" i="2" s="1"/>
  <c r="E1583" i="2"/>
  <c r="F1583" i="2" s="1"/>
  <c r="E823" i="2"/>
  <c r="F823" i="2" s="1"/>
  <c r="E825" i="2"/>
  <c r="F825" i="2" s="1"/>
  <c r="E824" i="2"/>
  <c r="F824" i="2" s="1"/>
  <c r="E826" i="2"/>
  <c r="F826" i="2" s="1"/>
  <c r="E827" i="2" s="1"/>
  <c r="E817" i="2"/>
  <c r="F817" i="2" s="1"/>
  <c r="E818" i="2"/>
  <c r="F818" i="2" s="1"/>
  <c r="E820" i="2"/>
  <c r="F820" i="2" s="1"/>
  <c r="E821" i="2" s="1"/>
  <c r="F821" i="2" s="1"/>
  <c r="E809" i="2"/>
  <c r="F809" i="2" s="1"/>
  <c r="E812" i="2" s="1"/>
  <c r="F812" i="2" s="1"/>
  <c r="E810" i="2"/>
  <c r="F810" i="2" s="1"/>
  <c r="E811" i="2"/>
  <c r="F811" i="2" s="1"/>
  <c r="E813" i="2"/>
  <c r="F813" i="2" s="1"/>
  <c r="E815" i="2" s="1"/>
  <c r="E814" i="2"/>
  <c r="F814" i="2" s="1"/>
  <c r="E802" i="2"/>
  <c r="F802" i="2" s="1"/>
  <c r="E803" i="2"/>
  <c r="F803" i="2" s="1"/>
  <c r="E805" i="2"/>
  <c r="F805" i="2" s="1"/>
  <c r="E807" i="2"/>
  <c r="F807" i="2" s="1"/>
  <c r="E806" i="2"/>
  <c r="F806" i="2" s="1"/>
  <c r="E795" i="2"/>
  <c r="F795" i="2" s="1"/>
  <c r="E797" i="2" s="1"/>
  <c r="F797" i="2" s="1"/>
  <c r="E796" i="2"/>
  <c r="F796" i="2" s="1"/>
  <c r="E798" i="2"/>
  <c r="F798" i="2" s="1"/>
  <c r="E800" i="2"/>
  <c r="E799" i="2"/>
  <c r="F799" i="2" s="1"/>
  <c r="E788" i="2"/>
  <c r="F788" i="2" s="1"/>
  <c r="E789" i="2"/>
  <c r="F789" i="2" s="1"/>
  <c r="E791" i="2"/>
  <c r="F791" i="2" s="1"/>
  <c r="E793" i="2" s="1"/>
  <c r="F793" i="2" s="1"/>
  <c r="E792" i="2"/>
  <c r="F792" i="2" s="1"/>
  <c r="E781" i="2"/>
  <c r="F781" i="2" s="1"/>
  <c r="E783" i="2"/>
  <c r="F783" i="2" s="1"/>
  <c r="E782" i="2"/>
  <c r="F782" i="2" s="1"/>
  <c r="E784" i="2"/>
  <c r="F784" i="2" s="1"/>
  <c r="E786" i="2" s="1"/>
  <c r="E785" i="2"/>
  <c r="F785" i="2" s="1"/>
  <c r="E771" i="2"/>
  <c r="F771" i="2" s="1"/>
  <c r="E772" i="2"/>
  <c r="F772" i="2" s="1"/>
  <c r="E773" i="2"/>
  <c r="F773" i="2" s="1"/>
  <c r="E774" i="2"/>
  <c r="F774" i="2" s="1"/>
  <c r="E775" i="2"/>
  <c r="F775" i="2" s="1"/>
  <c r="E777" i="2"/>
  <c r="F777" i="2" s="1"/>
  <c r="E778" i="2"/>
  <c r="F778" i="2" s="1"/>
  <c r="E760" i="2"/>
  <c r="F760" i="2" s="1"/>
  <c r="E766" i="2" s="1"/>
  <c r="F766" i="2" s="1"/>
  <c r="E761" i="2"/>
  <c r="F761" i="2" s="1"/>
  <c r="E762" i="2"/>
  <c r="F762" i="2" s="1"/>
  <c r="E763" i="2"/>
  <c r="F763" i="2" s="1"/>
  <c r="E764" i="2"/>
  <c r="F764" i="2" s="1"/>
  <c r="E765" i="2"/>
  <c r="F765" i="2" s="1"/>
  <c r="E767" i="2"/>
  <c r="F767" i="2" s="1"/>
  <c r="E769" i="2"/>
  <c r="E768" i="2"/>
  <c r="F768" i="2" s="1"/>
  <c r="E753" i="2"/>
  <c r="F753" i="2" s="1"/>
  <c r="E754" i="2"/>
  <c r="F754" i="2" s="1"/>
  <c r="E756" i="2"/>
  <c r="F756" i="2" s="1"/>
  <c r="E757" i="2"/>
  <c r="F757" i="2" s="1"/>
  <c r="E746" i="2"/>
  <c r="F746" i="2" s="1"/>
  <c r="E748" i="2" s="1"/>
  <c r="F748" i="2" s="1"/>
  <c r="E747" i="2"/>
  <c r="F747" i="2" s="1"/>
  <c r="E749" i="2"/>
  <c r="F749" i="2" s="1"/>
  <c r="E751" i="2"/>
  <c r="E750" i="2"/>
  <c r="F750" i="2" s="1"/>
  <c r="E739" i="2"/>
  <c r="F739" i="2" s="1"/>
  <c r="E740" i="2"/>
  <c r="F740" i="2" s="1"/>
  <c r="E742" i="2"/>
  <c r="F742" i="2" s="1"/>
  <c r="E743" i="2"/>
  <c r="F743" i="2" s="1"/>
  <c r="E732" i="2"/>
  <c r="F732" i="2" s="1"/>
  <c r="E734" i="2" s="1"/>
  <c r="F734" i="2" s="1"/>
  <c r="E733" i="2"/>
  <c r="F733" i="2" s="1"/>
  <c r="E735" i="2"/>
  <c r="F735" i="2" s="1"/>
  <c r="E737" i="2"/>
  <c r="E736" i="2"/>
  <c r="F736" i="2" s="1"/>
  <c r="E725" i="2"/>
  <c r="F725" i="2" s="1"/>
  <c r="E726" i="2"/>
  <c r="F726" i="2" s="1"/>
  <c r="E728" i="2"/>
  <c r="F728" i="2" s="1"/>
  <c r="E729" i="2"/>
  <c r="F729" i="2" s="1"/>
  <c r="E717" i="2"/>
  <c r="F717" i="2" s="1"/>
  <c r="E720" i="2" s="1"/>
  <c r="F720" i="2" s="1"/>
  <c r="E718" i="2"/>
  <c r="F718" i="2" s="1"/>
  <c r="E719" i="2"/>
  <c r="F719" i="2" s="1"/>
  <c r="E721" i="2"/>
  <c r="F721" i="2" s="1"/>
  <c r="E723" i="2" s="1"/>
  <c r="E722" i="2"/>
  <c r="F722" i="2" s="1"/>
  <c r="E710" i="2"/>
  <c r="F710" i="2" s="1"/>
  <c r="E711" i="2"/>
  <c r="F711" i="2" s="1"/>
  <c r="E713" i="2"/>
  <c r="F713" i="2" s="1"/>
  <c r="E714" i="2"/>
  <c r="F714" i="2" s="1"/>
  <c r="E715" i="2" s="1"/>
  <c r="F715" i="2" s="1"/>
  <c r="E703" i="2"/>
  <c r="F703" i="2" s="1"/>
  <c r="E704" i="2"/>
  <c r="F704" i="2" s="1"/>
  <c r="E706" i="2"/>
  <c r="F706" i="2" s="1"/>
  <c r="E707" i="2"/>
  <c r="F707" i="2" s="1"/>
  <c r="E700" i="2"/>
  <c r="F700" i="2" s="1"/>
  <c r="E701" i="2" s="1"/>
  <c r="F701" i="2" s="1"/>
  <c r="F699" i="2" s="1"/>
  <c r="E697" i="2"/>
  <c r="F697" i="2"/>
  <c r="E690" i="2"/>
  <c r="F690" i="2"/>
  <c r="E692" i="2"/>
  <c r="F692" i="2"/>
  <c r="E693" i="2"/>
  <c r="F693" i="2"/>
  <c r="E694" i="2"/>
  <c r="F694" i="2"/>
  <c r="E684" i="2"/>
  <c r="F684" i="2" s="1"/>
  <c r="E685" i="2"/>
  <c r="F685" i="2" s="1"/>
  <c r="E686" i="2"/>
  <c r="F686" i="2" s="1"/>
  <c r="E687" i="2"/>
  <c r="F687" i="2" s="1"/>
  <c r="E688" i="2" s="1"/>
  <c r="E678" i="2"/>
  <c r="F678" i="2" s="1"/>
  <c r="F677" i="2" s="1"/>
  <c r="E679" i="2"/>
  <c r="F679" i="2" s="1"/>
  <c r="E680" i="2"/>
  <c r="F680" i="2" s="1"/>
  <c r="E681" i="2"/>
  <c r="F681" i="2" s="1"/>
  <c r="E682" i="2"/>
  <c r="F682" i="2" s="1"/>
  <c r="E674" i="2"/>
  <c r="F674" i="2"/>
  <c r="E675" i="2"/>
  <c r="F675" i="2"/>
  <c r="E676" i="2" s="1"/>
  <c r="F676" i="2"/>
  <c r="E666" i="2"/>
  <c r="F666" i="2"/>
  <c r="E667" i="2"/>
  <c r="F667" i="2"/>
  <c r="E668" i="2"/>
  <c r="F668" i="2"/>
  <c r="E669" i="2"/>
  <c r="F669" i="2"/>
  <c r="E670" i="2"/>
  <c r="F670" i="2"/>
  <c r="E671" i="2"/>
  <c r="F671" i="2" s="1"/>
  <c r="E672" i="2"/>
  <c r="F672" i="2" s="1"/>
  <c r="E660" i="2"/>
  <c r="F660" i="2" s="1"/>
  <c r="E661" i="2"/>
  <c r="F661" i="2" s="1"/>
  <c r="E662" i="2"/>
  <c r="F662" i="2" s="1"/>
  <c r="E663" i="2"/>
  <c r="F663" i="2" s="1"/>
  <c r="E664" i="2" s="1"/>
  <c r="E428" i="2"/>
  <c r="F428" i="2" s="1"/>
  <c r="E432" i="2" s="1"/>
  <c r="F432" i="2" s="1"/>
  <c r="E429" i="2"/>
  <c r="F429" i="2"/>
  <c r="E430" i="2"/>
  <c r="F430" i="2"/>
  <c r="E431" i="2"/>
  <c r="F431" i="2"/>
  <c r="E433" i="2"/>
  <c r="F433" i="2"/>
  <c r="E434" i="2" s="1"/>
  <c r="F434" i="2" s="1"/>
  <c r="E102" i="2"/>
  <c r="F102" i="2"/>
  <c r="E103" i="2"/>
  <c r="F103" i="2"/>
  <c r="E104" i="2"/>
  <c r="F104" i="2"/>
  <c r="E106" i="2"/>
  <c r="F106" i="2"/>
  <c r="E108" i="2" s="1"/>
  <c r="F108" i="2" s="1"/>
  <c r="E107" i="2"/>
  <c r="F107" i="2"/>
  <c r="E398" i="2"/>
  <c r="F398" i="2"/>
  <c r="E399" i="2"/>
  <c r="F399" i="2"/>
  <c r="E400" i="2"/>
  <c r="F400" i="2"/>
  <c r="E402" i="2"/>
  <c r="F402" i="2"/>
  <c r="E403" i="2" s="1"/>
  <c r="F403" i="2" s="1"/>
  <c r="E653" i="2"/>
  <c r="F653" i="2"/>
  <c r="E110" i="2"/>
  <c r="F110" i="2"/>
  <c r="E111" i="2"/>
  <c r="F111" i="2"/>
  <c r="E112" i="2"/>
  <c r="F112" i="2"/>
  <c r="E113" i="2"/>
  <c r="F113" i="2"/>
  <c r="E114" i="2" s="1"/>
  <c r="F114" i="2"/>
  <c r="E656" i="2"/>
  <c r="F656" i="2"/>
  <c r="E658" i="2" s="1"/>
  <c r="F658" i="2" s="1"/>
  <c r="E657" i="2"/>
  <c r="F657" i="2"/>
  <c r="E1537" i="2"/>
  <c r="F1537" i="2"/>
  <c r="E1538" i="2"/>
  <c r="F1538" i="2"/>
  <c r="E1539" i="2"/>
  <c r="F1539" i="2"/>
  <c r="E1541" i="2"/>
  <c r="F1541" i="2"/>
  <c r="E1542" i="2"/>
  <c r="F1542" i="2"/>
  <c r="E1544" i="2"/>
  <c r="F1544" i="2"/>
  <c r="E1545" i="2"/>
  <c r="F1545" i="2"/>
  <c r="E1548" i="2"/>
  <c r="F1548" i="2"/>
  <c r="E1302" i="2"/>
  <c r="F1302" i="2"/>
  <c r="E1303" i="2"/>
  <c r="F1303" i="2"/>
  <c r="E1304" i="2"/>
  <c r="F1304" i="2"/>
  <c r="E1305" i="2"/>
  <c r="F1305" i="2"/>
  <c r="E1307" i="2"/>
  <c r="F1307" i="2"/>
  <c r="E1308" i="2" s="1"/>
  <c r="F1308" i="2" s="1"/>
  <c r="F1286" i="2"/>
  <c r="E1287" i="2"/>
  <c r="F1287" i="2"/>
  <c r="E1290" i="2"/>
  <c r="F1290" i="2"/>
  <c r="E1291" i="2"/>
  <c r="F1291" i="2"/>
  <c r="E1270" i="2"/>
  <c r="F1270" i="2"/>
  <c r="E1271" i="2"/>
  <c r="F1271" i="2"/>
  <c r="E1274" i="2"/>
  <c r="F1274" i="2"/>
  <c r="E1276" i="2" s="1"/>
  <c r="F1276" i="2" s="1"/>
  <c r="E1275" i="2"/>
  <c r="F1275" i="2"/>
  <c r="E1262" i="2"/>
  <c r="F1262" i="2"/>
  <c r="E1263" i="2"/>
  <c r="F1263" i="2"/>
  <c r="E1264" i="2"/>
  <c r="F1264" i="2"/>
  <c r="E1265" i="2"/>
  <c r="F1265" i="2"/>
  <c r="E1266" i="2"/>
  <c r="F1266" i="2"/>
  <c r="E1267" i="2"/>
  <c r="F1267" i="2"/>
  <c r="E1255" i="2"/>
  <c r="F1255" i="2"/>
  <c r="E1256" i="2"/>
  <c r="F1256" i="2"/>
  <c r="E1257" i="2"/>
  <c r="F1257" i="2"/>
  <c r="E1258" i="2"/>
  <c r="F1258" i="2"/>
  <c r="E1260" i="2" s="1"/>
  <c r="F1260" i="2" s="1"/>
  <c r="E1259" i="2"/>
  <c r="F1259" i="2"/>
  <c r="E1246" i="2"/>
  <c r="F1246" i="2"/>
  <c r="E1247" i="2"/>
  <c r="F1247" i="2"/>
  <c r="E1248" i="2"/>
  <c r="F1248" i="2"/>
  <c r="E1249" i="2"/>
  <c r="F1249" i="2"/>
  <c r="E1250" i="2"/>
  <c r="F1250" i="2"/>
  <c r="E1251" i="2"/>
  <c r="F1251" i="2"/>
  <c r="E1238" i="2"/>
  <c r="F1238" i="2"/>
  <c r="E1239" i="2"/>
  <c r="F1239" i="2"/>
  <c r="E1240" i="2"/>
  <c r="F1240" i="2"/>
  <c r="E1241" i="2"/>
  <c r="F1241" i="2"/>
  <c r="E1242" i="2"/>
  <c r="F1242" i="2"/>
  <c r="E1243" i="2"/>
  <c r="F1243" i="2"/>
  <c r="E1230" i="2"/>
  <c r="F1230" i="2"/>
  <c r="E1231" i="2"/>
  <c r="F1231" i="2"/>
  <c r="E1232" i="2"/>
  <c r="F1232" i="2"/>
  <c r="E1233" i="2"/>
  <c r="F1233" i="2"/>
  <c r="E1234" i="2"/>
  <c r="F1234" i="2"/>
  <c r="E1235" i="2"/>
  <c r="F1235" i="2"/>
  <c r="E1222" i="2"/>
  <c r="F1222" i="2"/>
  <c r="E1223" i="2"/>
  <c r="F1223" i="2"/>
  <c r="E1224" i="2"/>
  <c r="F1224" i="2"/>
  <c r="E1225" i="2"/>
  <c r="F1225" i="2"/>
  <c r="E1226" i="2"/>
  <c r="F1226" i="2"/>
  <c r="E1228" i="2" s="1"/>
  <c r="F1228" i="2" s="1"/>
  <c r="E1227" i="2"/>
  <c r="F1227" i="2"/>
  <c r="E1214" i="2"/>
  <c r="F1214" i="2"/>
  <c r="E1215" i="2"/>
  <c r="F1215" i="2"/>
  <c r="E1216" i="2"/>
  <c r="F1216" i="2"/>
  <c r="E1217" i="2"/>
  <c r="F1217" i="2"/>
  <c r="E1218" i="2"/>
  <c r="F1218" i="2"/>
  <c r="E1219" i="2"/>
  <c r="F1219" i="2"/>
  <c r="E1206" i="2"/>
  <c r="F1206" i="2"/>
  <c r="E1207" i="2"/>
  <c r="F1207" i="2"/>
  <c r="E1208" i="2"/>
  <c r="F1208" i="2"/>
  <c r="E1209" i="2"/>
  <c r="F1209" i="2"/>
  <c r="E1210" i="2"/>
  <c r="F1210" i="2"/>
  <c r="E1211" i="2"/>
  <c r="F1211" i="2"/>
  <c r="E339" i="2"/>
  <c r="F339" i="2"/>
  <c r="E340" i="2"/>
  <c r="F340" i="2"/>
  <c r="E341" i="2"/>
  <c r="F341" i="2"/>
  <c r="E342" i="2"/>
  <c r="F342" i="2"/>
  <c r="F343" i="2" s="1"/>
  <c r="E413" i="2"/>
  <c r="F413" i="2" s="1"/>
  <c r="E414" i="2"/>
  <c r="F414" i="2" s="1"/>
  <c r="E415" i="2"/>
  <c r="F415" i="2" s="1"/>
  <c r="E416" i="2"/>
  <c r="F416" i="2" s="1"/>
  <c r="E418" i="2"/>
  <c r="F418" i="2"/>
  <c r="E419" i="2" s="1"/>
  <c r="F419" i="2" s="1"/>
  <c r="E648" i="2"/>
  <c r="F648" i="2"/>
  <c r="E650" i="2" s="1"/>
  <c r="F650" i="2" s="1"/>
  <c r="E649" i="2"/>
  <c r="F649" i="2"/>
  <c r="E640" i="2"/>
  <c r="F640" i="2"/>
  <c r="E642" i="2"/>
  <c r="F642" i="2"/>
  <c r="E643" i="2" s="1"/>
  <c r="F643" i="2" s="1"/>
  <c r="E635" i="2"/>
  <c r="F635" i="2"/>
  <c r="E636" i="2" s="1"/>
  <c r="F636" i="2" s="1"/>
  <c r="E637" i="2"/>
  <c r="F637" i="2"/>
  <c r="E638" i="2" s="1"/>
  <c r="F638" i="2" s="1"/>
  <c r="E630" i="2"/>
  <c r="F630" i="2"/>
  <c r="E632" i="2"/>
  <c r="F632" i="2"/>
  <c r="E633" i="2" s="1"/>
  <c r="F633" i="2" s="1"/>
  <c r="E1197" i="2"/>
  <c r="F1197" i="2"/>
  <c r="E1201" i="2" s="1"/>
  <c r="F1201" i="2" s="1"/>
  <c r="E1198" i="2"/>
  <c r="F1198" i="2"/>
  <c r="E1199" i="2"/>
  <c r="F1199" i="2"/>
  <c r="E1200" i="2"/>
  <c r="F1200" i="2"/>
  <c r="E1202" i="2"/>
  <c r="F1202" i="2"/>
  <c r="E1204" i="2" s="1"/>
  <c r="F1204" i="2" s="1"/>
  <c r="E1203" i="2"/>
  <c r="F1203" i="2"/>
  <c r="E1188" i="2"/>
  <c r="F1188" i="2"/>
  <c r="E1189" i="2"/>
  <c r="F1189" i="2"/>
  <c r="E1190" i="2"/>
  <c r="F1190" i="2"/>
  <c r="E1191" i="2"/>
  <c r="F1191" i="2"/>
  <c r="E1193" i="2"/>
  <c r="F1193" i="2"/>
  <c r="E1195" i="2" s="1"/>
  <c r="F1195" i="2" s="1"/>
  <c r="E1194" i="2"/>
  <c r="F1194" i="2"/>
  <c r="E1181" i="2"/>
  <c r="F1181" i="2"/>
  <c r="E1184" i="2" s="1"/>
  <c r="F1184" i="2" s="1"/>
  <c r="E1182" i="2"/>
  <c r="F1182" i="2"/>
  <c r="E1183" i="2"/>
  <c r="F1183" i="2"/>
  <c r="E1185" i="2"/>
  <c r="F1185" i="2"/>
  <c r="E1186" i="2" s="1"/>
  <c r="F1186" i="2" s="1"/>
  <c r="E1174" i="2"/>
  <c r="F1174" i="2"/>
  <c r="E1175" i="2"/>
  <c r="F1175" i="2"/>
  <c r="E1176" i="2"/>
  <c r="F1176" i="2"/>
  <c r="E1178" i="2"/>
  <c r="F1178" i="2"/>
  <c r="E1179" i="2" s="1"/>
  <c r="F1179" i="2" s="1"/>
  <c r="E1167" i="2"/>
  <c r="F1167" i="2"/>
  <c r="E1170" i="2" s="1"/>
  <c r="F1170" i="2" s="1"/>
  <c r="E1168" i="2"/>
  <c r="F1168" i="2"/>
  <c r="E1169" i="2"/>
  <c r="F1169" i="2"/>
  <c r="E1171" i="2"/>
  <c r="F1171" i="2"/>
  <c r="E1172" i="2" s="1"/>
  <c r="F1172" i="2" s="1"/>
  <c r="E1161" i="2"/>
  <c r="F1161" i="2"/>
  <c r="E1162" i="2"/>
  <c r="F1162" i="2"/>
  <c r="E1164" i="2"/>
  <c r="F1164" i="2"/>
  <c r="E1165" i="2" s="1"/>
  <c r="F1165" i="2" s="1"/>
  <c r="E1155" i="2"/>
  <c r="F1155" i="2"/>
  <c r="E1157" i="2" s="1"/>
  <c r="F1157" i="2" s="1"/>
  <c r="E1156" i="2"/>
  <c r="F1156" i="2"/>
  <c r="E1158" i="2"/>
  <c r="F1158" i="2"/>
  <c r="E1159" i="2" s="1"/>
  <c r="F1159" i="2" s="1"/>
  <c r="E1148" i="2"/>
  <c r="F1148" i="2"/>
  <c r="E1149" i="2"/>
  <c r="F1149" i="2"/>
  <c r="E1150" i="2"/>
  <c r="F1150" i="2"/>
  <c r="E1152" i="2"/>
  <c r="F1152" i="2"/>
  <c r="E1153" i="2" s="1"/>
  <c r="F1153" i="2" s="1"/>
  <c r="E1141" i="2"/>
  <c r="F1141" i="2"/>
  <c r="E1144" i="2" s="1"/>
  <c r="F1144" i="2" s="1"/>
  <c r="E1142" i="2"/>
  <c r="F1142" i="2"/>
  <c r="E1143" i="2"/>
  <c r="F1143" i="2"/>
  <c r="E1145" i="2"/>
  <c r="F1145" i="2"/>
  <c r="E1146" i="2" s="1"/>
  <c r="F1146" i="2" s="1"/>
  <c r="E1134" i="2"/>
  <c r="F1134" i="2"/>
  <c r="E1135" i="2"/>
  <c r="F1135" i="2"/>
  <c r="E1136" i="2"/>
  <c r="F1136" i="2"/>
  <c r="E1138" i="2"/>
  <c r="F1138" i="2"/>
  <c r="E1139" i="2" s="1"/>
  <c r="F1139" i="2" s="1"/>
  <c r="E583" i="2"/>
  <c r="F583" i="2"/>
  <c r="E587" i="2"/>
  <c r="F587" i="2"/>
  <c r="E589" i="2" s="1"/>
  <c r="F589" i="2" s="1"/>
  <c r="E588" i="2"/>
  <c r="F588" i="2"/>
  <c r="E575" i="2"/>
  <c r="F575" i="2"/>
  <c r="E579" i="2"/>
  <c r="F579" i="2"/>
  <c r="E581" i="2" s="1"/>
  <c r="F581" i="2" s="1"/>
  <c r="E580" i="2"/>
  <c r="F580" i="2"/>
  <c r="E567" i="2"/>
  <c r="F567" i="2"/>
  <c r="E571" i="2"/>
  <c r="F571" i="2"/>
  <c r="E573" i="2" s="1"/>
  <c r="F573" i="2" s="1"/>
  <c r="E572" i="2"/>
  <c r="F572" i="2"/>
  <c r="E1127" i="2"/>
  <c r="F1127" i="2"/>
  <c r="E1131" i="2"/>
  <c r="F1131" i="2"/>
  <c r="E1132" i="2" s="1"/>
  <c r="F1132" i="2" s="1"/>
  <c r="E1120" i="2"/>
  <c r="F1120" i="2"/>
  <c r="E1123" i="2" s="1"/>
  <c r="F1123" i="2" s="1"/>
  <c r="E1121" i="2"/>
  <c r="F1121" i="2"/>
  <c r="E1122" i="2"/>
  <c r="F1122" i="2"/>
  <c r="E1124" i="2"/>
  <c r="F1124" i="2"/>
  <c r="E1125" i="2" s="1"/>
  <c r="F1125" i="2" s="1"/>
  <c r="E553" i="2"/>
  <c r="F553" i="2"/>
  <c r="E554" i="2"/>
  <c r="F554" i="2" s="1"/>
  <c r="E555" i="2"/>
  <c r="F555" i="2" s="1"/>
  <c r="E556" i="2"/>
  <c r="F556" i="2" s="1"/>
  <c r="E557" i="2"/>
  <c r="F557" i="2" s="1"/>
  <c r="E558" i="2"/>
  <c r="F558" i="2" s="1"/>
  <c r="E560" i="2"/>
  <c r="F560" i="2" s="1"/>
  <c r="E563" i="2"/>
  <c r="F563" i="2" s="1"/>
  <c r="E564" i="2"/>
  <c r="F564" i="2" s="1"/>
  <c r="E539" i="2"/>
  <c r="F539" i="2" s="1"/>
  <c r="E540" i="2"/>
  <c r="F540" i="2" s="1"/>
  <c r="E541" i="2"/>
  <c r="F541" i="2" s="1"/>
  <c r="E542" i="2"/>
  <c r="F542" i="2" s="1"/>
  <c r="E543" i="2"/>
  <c r="F543" i="2" s="1"/>
  <c r="E544" i="2"/>
  <c r="F544" i="2" s="1"/>
  <c r="E546" i="2"/>
  <c r="F546" i="2" s="1"/>
  <c r="E549" i="2"/>
  <c r="F549" i="2" s="1"/>
  <c r="E550" i="2"/>
  <c r="F550" i="2" s="1"/>
  <c r="E525" i="2"/>
  <c r="F525" i="2" s="1"/>
  <c r="E526" i="2"/>
  <c r="F526" i="2" s="1"/>
  <c r="E527" i="2"/>
  <c r="F527" i="2" s="1"/>
  <c r="E528" i="2"/>
  <c r="F528" i="2" s="1"/>
  <c r="E529" i="2"/>
  <c r="F529" i="2" s="1"/>
  <c r="E530" i="2"/>
  <c r="F530" i="2" s="1"/>
  <c r="E532" i="2"/>
  <c r="F532" i="2" s="1"/>
  <c r="E535" i="2"/>
  <c r="F535" i="2" s="1"/>
  <c r="E537" i="2" s="1"/>
  <c r="F537" i="2" s="1"/>
  <c r="E536" i="2"/>
  <c r="F536" i="2" s="1"/>
  <c r="E513" i="2"/>
  <c r="F513" i="2" s="1"/>
  <c r="E514" i="2"/>
  <c r="F514" i="2" s="1"/>
  <c r="E515" i="2"/>
  <c r="F515" i="2" s="1"/>
  <c r="E520" i="2" s="1"/>
  <c r="F520" i="2" s="1"/>
  <c r="E516" i="2"/>
  <c r="F516" i="2" s="1"/>
  <c r="E517" i="2"/>
  <c r="F517" i="2" s="1"/>
  <c r="E518" i="2"/>
  <c r="F518" i="2" s="1"/>
  <c r="E519" i="2"/>
  <c r="F519" i="2" s="1"/>
  <c r="E521" i="2"/>
  <c r="F521" i="2" s="1"/>
  <c r="E522" i="2"/>
  <c r="F522" i="2" s="1"/>
  <c r="E523" i="2" s="1"/>
  <c r="F523" i="2" s="1"/>
  <c r="E502" i="2"/>
  <c r="F502" i="2" s="1"/>
  <c r="E503" i="2"/>
  <c r="F503" i="2" s="1"/>
  <c r="E504" i="2"/>
  <c r="F504" i="2" s="1"/>
  <c r="E505" i="2"/>
  <c r="F505" i="2" s="1"/>
  <c r="E506" i="2"/>
  <c r="F506" i="2" s="1"/>
  <c r="E507" i="2"/>
  <c r="F507" i="2" s="1"/>
  <c r="E509" i="2"/>
  <c r="F509" i="2" s="1"/>
  <c r="E511" i="2" s="1"/>
  <c r="F511" i="2" s="1"/>
  <c r="E510" i="2"/>
  <c r="F510" i="2" s="1"/>
  <c r="E491" i="2"/>
  <c r="F491" i="2" s="1"/>
  <c r="E492" i="2"/>
  <c r="F492" i="2" s="1"/>
  <c r="E493" i="2"/>
  <c r="F493" i="2" s="1"/>
  <c r="E497" i="2" s="1"/>
  <c r="F497" i="2" s="1"/>
  <c r="E494" i="2"/>
  <c r="F494" i="2" s="1"/>
  <c r="E495" i="2"/>
  <c r="F495" i="2" s="1"/>
  <c r="E496" i="2"/>
  <c r="F496" i="2" s="1"/>
  <c r="E498" i="2"/>
  <c r="F498" i="2" s="1"/>
  <c r="E500" i="2" s="1"/>
  <c r="F500" i="2" s="1"/>
  <c r="E499" i="2"/>
  <c r="F499" i="2" s="1"/>
  <c r="E479" i="2"/>
  <c r="F479" i="2" s="1"/>
  <c r="E480" i="2"/>
  <c r="F480" i="2" s="1"/>
  <c r="E481" i="2"/>
  <c r="F481" i="2" s="1"/>
  <c r="E482" i="2"/>
  <c r="F482" i="2" s="1"/>
  <c r="E483" i="2"/>
  <c r="F483" i="2" s="1"/>
  <c r="E484" i="2"/>
  <c r="F484" i="2" s="1"/>
  <c r="E485" i="2"/>
  <c r="F485" i="2" s="1"/>
  <c r="E487" i="2"/>
  <c r="F487" i="2" s="1"/>
  <c r="E488" i="2"/>
  <c r="F488" i="2" s="1"/>
  <c r="E1105" i="2"/>
  <c r="F1105" i="2" s="1"/>
  <c r="E1106" i="2" s="1"/>
  <c r="F1106" i="2" s="1"/>
  <c r="E472" i="2"/>
  <c r="F472" i="2" s="1"/>
  <c r="E473" i="2"/>
  <c r="F473" i="2" s="1"/>
  <c r="E475" i="2"/>
  <c r="F475" i="2" s="1"/>
  <c r="E476" i="2"/>
  <c r="F476" i="2" s="1"/>
  <c r="E1098" i="2"/>
  <c r="F1098" i="2" s="1"/>
  <c r="E1099" i="2"/>
  <c r="F1099" i="2" s="1"/>
  <c r="E1100" i="2"/>
  <c r="F1100" i="2" s="1"/>
  <c r="E1101" i="2" s="1"/>
  <c r="F1101" i="2" s="1"/>
  <c r="E1093" i="2"/>
  <c r="F1093" i="2" s="1"/>
  <c r="E1094" i="2"/>
  <c r="F1094" i="2" s="1"/>
  <c r="E1095" i="2"/>
  <c r="F1095" i="2" s="1"/>
  <c r="E1096" i="2" s="1"/>
  <c r="F1096" i="2" s="1"/>
  <c r="E1529" i="2"/>
  <c r="F1529" i="2" s="1"/>
  <c r="E1533" i="2" s="1"/>
  <c r="F1533" i="2" s="1"/>
  <c r="E1530" i="2"/>
  <c r="F1530" i="2" s="1"/>
  <c r="E1531" i="2"/>
  <c r="F1531" i="2" s="1"/>
  <c r="E1532" i="2"/>
  <c r="F1532" i="2" s="1"/>
  <c r="E1534" i="2"/>
  <c r="F1534" i="2" s="1"/>
  <c r="E1535" i="2"/>
  <c r="F1535" i="2" s="1"/>
  <c r="E1523" i="2"/>
  <c r="F1523" i="2" s="1"/>
  <c r="E1524" i="2"/>
  <c r="F1524" i="2" s="1"/>
  <c r="E1526" i="2"/>
  <c r="F1526" i="2" s="1"/>
  <c r="E1517" i="2"/>
  <c r="F1517" i="2" s="1"/>
  <c r="E1519" i="2" s="1"/>
  <c r="F1519" i="2" s="1"/>
  <c r="E1518" i="2"/>
  <c r="F1518" i="2" s="1"/>
  <c r="E1520" i="2"/>
  <c r="F1520" i="2" s="1"/>
  <c r="E1521" i="2"/>
  <c r="F1521" i="2" s="1"/>
  <c r="E1511" i="2"/>
  <c r="F1511" i="2" s="1"/>
  <c r="E1512" i="2"/>
  <c r="F1512" i="2" s="1"/>
  <c r="E1514" i="2"/>
  <c r="F1514" i="2" s="1"/>
  <c r="E1515" i="2"/>
  <c r="F1515" i="2" s="1"/>
  <c r="E1086" i="2"/>
  <c r="F1086" i="2" s="1"/>
  <c r="E1088" i="2"/>
  <c r="F1088" i="2" s="1"/>
  <c r="E1087" i="2"/>
  <c r="F1087" i="2" s="1"/>
  <c r="E1089" i="2"/>
  <c r="F1089" i="2" s="1"/>
  <c r="E1091" i="2" s="1"/>
  <c r="F1091" i="2" s="1"/>
  <c r="E1090" i="2"/>
  <c r="F1090" i="2" s="1"/>
  <c r="E469" i="2"/>
  <c r="F469" i="2" s="1"/>
  <c r="E463" i="2"/>
  <c r="F463" i="2" s="1"/>
  <c r="E464" i="2"/>
  <c r="F464" i="2" s="1"/>
  <c r="E465" i="2"/>
  <c r="F465" i="2" s="1"/>
  <c r="E466" i="2" s="1"/>
  <c r="F466" i="2" s="1"/>
  <c r="E454" i="2"/>
  <c r="F454" i="2" s="1"/>
  <c r="E455" i="2"/>
  <c r="F455" i="2" s="1"/>
  <c r="E456" i="2"/>
  <c r="F456" i="2" s="1"/>
  <c r="E458" i="2"/>
  <c r="F458" i="2" s="1"/>
  <c r="E459" i="2"/>
  <c r="F459" i="2" s="1"/>
  <c r="E460" i="2"/>
  <c r="F460" i="2" s="1"/>
  <c r="E1501" i="2"/>
  <c r="F1501" i="2" s="1"/>
  <c r="E1502" i="2"/>
  <c r="F1502" i="2" s="1"/>
  <c r="E1503" i="2"/>
  <c r="F1503" i="2" s="1"/>
  <c r="E1504" i="2"/>
  <c r="F1504" i="2" s="1"/>
  <c r="E1505" i="2"/>
  <c r="F1505" i="2" s="1"/>
  <c r="E1506" i="2"/>
  <c r="F1506" i="2" s="1"/>
  <c r="E1507" i="2"/>
  <c r="F1507" i="2" s="1"/>
  <c r="E1509" i="2" s="1"/>
  <c r="F1509" i="2" s="1"/>
  <c r="E1508" i="2"/>
  <c r="F1508" i="2" s="1"/>
  <c r="E1491" i="2"/>
  <c r="F1491" i="2" s="1"/>
  <c r="E1492" i="2"/>
  <c r="F1492" i="2" s="1"/>
  <c r="E1493" i="2"/>
  <c r="F1493" i="2" s="1"/>
  <c r="E1494" i="2"/>
  <c r="F1494" i="2" s="1"/>
  <c r="E1495" i="2"/>
  <c r="F1495" i="2" s="1"/>
  <c r="E1496" i="2"/>
  <c r="F1496" i="2" s="1"/>
  <c r="E1497" i="2"/>
  <c r="F1497" i="2" s="1"/>
  <c r="E1498" i="2"/>
  <c r="F1498" i="2" s="1"/>
  <c r="E1499" i="2" s="1"/>
  <c r="F1499" i="2" s="1"/>
  <c r="F1490" i="2" s="1"/>
  <c r="E1480" i="2"/>
  <c r="F1480" i="2"/>
  <c r="E1481" i="2"/>
  <c r="F1481" i="2"/>
  <c r="E1482" i="2"/>
  <c r="F1482" i="2"/>
  <c r="E1483" i="2"/>
  <c r="F1483" i="2"/>
  <c r="E1484" i="2"/>
  <c r="F1484" i="2"/>
  <c r="E1485" i="2"/>
  <c r="F1485" i="2"/>
  <c r="E1486" i="2"/>
  <c r="F1486" i="2"/>
  <c r="E1487" i="2"/>
  <c r="F1487" i="2"/>
  <c r="E1488" i="2"/>
  <c r="F1488" i="2"/>
  <c r="E1472" i="2"/>
  <c r="F1472" i="2"/>
  <c r="E1473" i="2"/>
  <c r="F1473" i="2" s="1"/>
  <c r="E1474" i="2"/>
  <c r="F1474" i="2" s="1"/>
  <c r="E1475" i="2"/>
  <c r="F1475" i="2" s="1"/>
  <c r="E1476" i="2"/>
  <c r="F1476" i="2" s="1"/>
  <c r="E1478" i="2" s="1"/>
  <c r="F1478" i="2" s="1"/>
  <c r="E1477" i="2"/>
  <c r="F1477" i="2" s="1"/>
  <c r="E1081" i="2"/>
  <c r="F1081" i="2" s="1"/>
  <c r="E1083" i="2"/>
  <c r="F1083" i="2" s="1"/>
  <c r="E1084" i="2" s="1"/>
  <c r="F1084" i="2" s="1"/>
  <c r="E1076" i="2"/>
  <c r="F1076" i="2" s="1"/>
  <c r="E1077" i="2" s="1"/>
  <c r="F1077" i="2" s="1"/>
  <c r="E1078" i="2"/>
  <c r="F1078" i="2" s="1"/>
  <c r="E1079" i="2" s="1"/>
  <c r="F1079" i="2" s="1"/>
  <c r="E1071" i="2"/>
  <c r="F1071" i="2" s="1"/>
  <c r="E1073" i="2"/>
  <c r="F1073" i="2" s="1"/>
  <c r="E1074" i="2" s="1"/>
  <c r="F1074" i="2" s="1"/>
  <c r="E1066" i="2"/>
  <c r="F1066" i="2" s="1"/>
  <c r="E1068" i="2"/>
  <c r="F1068" i="2"/>
  <c r="E1069" i="2" s="1"/>
  <c r="F1069" i="2" s="1"/>
  <c r="E1061" i="2"/>
  <c r="F1061" i="2"/>
  <c r="E1062" i="2" s="1"/>
  <c r="F1062" i="2" s="1"/>
  <c r="E1063" i="2"/>
  <c r="F1063" i="2"/>
  <c r="E1064" i="2" s="1"/>
  <c r="F1064" i="2" s="1"/>
  <c r="E451" i="2"/>
  <c r="F451" i="2" s="1"/>
  <c r="F450" i="2" s="1"/>
  <c r="E452" i="2"/>
  <c r="F452" i="2"/>
  <c r="E443" i="2"/>
  <c r="F443" i="2"/>
  <c r="E444" i="2"/>
  <c r="F444" i="2"/>
  <c r="E445" i="2"/>
  <c r="F445" i="2"/>
  <c r="E446" i="2"/>
  <c r="F446" i="2"/>
  <c r="E448" i="2"/>
  <c r="F448" i="2"/>
  <c r="E449" i="2" s="1"/>
  <c r="F449" i="2" s="1"/>
  <c r="E436" i="2"/>
  <c r="F436" i="2"/>
  <c r="E439" i="2" s="1"/>
  <c r="F439" i="2" s="1"/>
  <c r="E437" i="2"/>
  <c r="F437" i="2"/>
  <c r="E438" i="2"/>
  <c r="F438" i="2"/>
  <c r="E440" i="2"/>
  <c r="F440" i="2"/>
  <c r="E441" i="2" s="1"/>
  <c r="F441" i="2" s="1"/>
  <c r="E421" i="2"/>
  <c r="F421" i="2"/>
  <c r="E422" i="2"/>
  <c r="F422" i="2"/>
  <c r="E423" i="2"/>
  <c r="F423" i="2"/>
  <c r="E425" i="2"/>
  <c r="F425" i="2"/>
  <c r="E426" i="2" s="1"/>
  <c r="F426" i="2" s="1"/>
  <c r="E405" i="2"/>
  <c r="F405" i="2"/>
  <c r="E409" i="2" s="1"/>
  <c r="F409" i="2" s="1"/>
  <c r="E406" i="2"/>
  <c r="F406" i="2"/>
  <c r="E407" i="2"/>
  <c r="F407" i="2"/>
  <c r="E408" i="2"/>
  <c r="F408" i="2"/>
  <c r="E410" i="2"/>
  <c r="F410" i="2"/>
  <c r="E411" i="2" s="1"/>
  <c r="F411" i="2" s="1"/>
  <c r="E390" i="2"/>
  <c r="F390" i="2"/>
  <c r="E391" i="2"/>
  <c r="F391" i="2"/>
  <c r="E392" i="2"/>
  <c r="F392" i="2"/>
  <c r="E393" i="2"/>
  <c r="F393" i="2"/>
  <c r="E395" i="2"/>
  <c r="F395" i="2"/>
  <c r="E396" i="2" s="1"/>
  <c r="F396" i="2" s="1"/>
  <c r="E382" i="2"/>
  <c r="F382" i="2"/>
  <c r="E386" i="2" s="1"/>
  <c r="F386" i="2" s="1"/>
  <c r="E383" i="2"/>
  <c r="F383" i="2"/>
  <c r="E384" i="2"/>
  <c r="F384" i="2"/>
  <c r="E385" i="2"/>
  <c r="F385" i="2"/>
  <c r="E387" i="2"/>
  <c r="F387" i="2"/>
  <c r="E388" i="2" s="1"/>
  <c r="F388" i="2" s="1"/>
  <c r="E1054" i="2"/>
  <c r="F1054" i="2"/>
  <c r="E1055" i="2"/>
  <c r="F1055" i="2"/>
  <c r="E1056" i="2"/>
  <c r="F1056" i="2"/>
  <c r="E1058" i="2"/>
  <c r="F1058" i="2" s="1"/>
  <c r="E1059" i="2" s="1"/>
  <c r="F1059" i="2" s="1"/>
  <c r="E1047" i="2"/>
  <c r="F1047" i="2" s="1"/>
  <c r="E1048" i="2"/>
  <c r="F1048" i="2" s="1"/>
  <c r="E1049" i="2"/>
  <c r="F1049" i="2" s="1"/>
  <c r="E1051" i="2"/>
  <c r="F1051" i="2" s="1"/>
  <c r="E1052" i="2" s="1"/>
  <c r="F1052" i="2" s="1"/>
  <c r="E1038" i="2"/>
  <c r="F1038" i="2" s="1"/>
  <c r="E1039" i="2"/>
  <c r="F1039" i="2" s="1"/>
  <c r="E1040" i="2"/>
  <c r="F1040" i="2" s="1"/>
  <c r="E1041" i="2"/>
  <c r="F1041" i="2" s="1"/>
  <c r="E1043" i="2"/>
  <c r="F1043" i="2" s="1"/>
  <c r="E1044" i="2"/>
  <c r="F1044" i="2" s="1"/>
  <c r="E1030" i="2"/>
  <c r="F1030" i="2" s="1"/>
  <c r="E1031" i="2"/>
  <c r="F1031" i="2" s="1"/>
  <c r="E1032" i="2"/>
  <c r="F1032" i="2" s="1"/>
  <c r="E1034" i="2"/>
  <c r="F1034" i="2" s="1"/>
  <c r="E1036" i="2" s="1"/>
  <c r="F1036" i="2" s="1"/>
  <c r="E1035" i="2"/>
  <c r="F1035" i="2" s="1"/>
  <c r="E374" i="2"/>
  <c r="F374" i="2" s="1"/>
  <c r="E375" i="2"/>
  <c r="F375" i="2" s="1"/>
  <c r="E376" i="2"/>
  <c r="F376" i="2" s="1"/>
  <c r="E378" i="2"/>
  <c r="F378" i="2" s="1"/>
  <c r="E380" i="2"/>
  <c r="F380" i="2" s="1"/>
  <c r="E379" i="2"/>
  <c r="F379" i="2" s="1"/>
  <c r="E366" i="2"/>
  <c r="F366" i="2" s="1"/>
  <c r="E369" i="2" s="1"/>
  <c r="F369" i="2" s="1"/>
  <c r="E367" i="2"/>
  <c r="F367" i="2" s="1"/>
  <c r="E368" i="2"/>
  <c r="F368" i="2" s="1"/>
  <c r="E370" i="2"/>
  <c r="F370" i="2" s="1"/>
  <c r="E372" i="2" s="1"/>
  <c r="F372" i="2" s="1"/>
  <c r="E371" i="2"/>
  <c r="F371" i="2" s="1"/>
  <c r="E358" i="2"/>
  <c r="F358" i="2" s="1"/>
  <c r="E359" i="2"/>
  <c r="F359" i="2" s="1"/>
  <c r="E360" i="2"/>
  <c r="F360" i="2" s="1"/>
  <c r="E362" i="2"/>
  <c r="F362" i="2" s="1"/>
  <c r="E363" i="2"/>
  <c r="F363" i="2" s="1"/>
  <c r="E1025" i="2"/>
  <c r="F1025" i="2" s="1"/>
  <c r="E1026" i="2" s="1"/>
  <c r="F1026" i="2" s="1"/>
  <c r="E1027" i="2"/>
  <c r="F1027" i="2" s="1"/>
  <c r="E1028" i="2" s="1"/>
  <c r="F1028" i="2" s="1"/>
  <c r="E1020" i="2"/>
  <c r="F1020" i="2" s="1"/>
  <c r="E1022" i="2"/>
  <c r="F1022" i="2" s="1"/>
  <c r="E1023" i="2"/>
  <c r="F1023" i="2" s="1"/>
  <c r="E345" i="2"/>
  <c r="F345" i="2" s="1"/>
  <c r="E346" i="2"/>
  <c r="F346" i="2" s="1"/>
  <c r="E347" i="2"/>
  <c r="F347" i="2" s="1"/>
  <c r="E348" i="2"/>
  <c r="F348" i="2" s="1"/>
  <c r="E312" i="2"/>
  <c r="F312" i="2" s="1"/>
  <c r="E313" i="2"/>
  <c r="F313" i="2" s="1"/>
  <c r="E314" i="2"/>
  <c r="F314" i="2" s="1"/>
  <c r="E316" i="2"/>
  <c r="F316" i="2" s="1"/>
  <c r="E318" i="2" s="1"/>
  <c r="F318" i="2" s="1"/>
  <c r="E317" i="2"/>
  <c r="F317" i="2" s="1"/>
  <c r="E304" i="2"/>
  <c r="F304" i="2" s="1"/>
  <c r="E305" i="2"/>
  <c r="F305" i="2" s="1"/>
  <c r="E306" i="2"/>
  <c r="F306" i="2" s="1"/>
  <c r="E307" i="2" s="1"/>
  <c r="F307" i="2" s="1"/>
  <c r="F303" i="2" s="1"/>
  <c r="E308" i="2"/>
  <c r="F308" i="2" s="1"/>
  <c r="E310" i="2"/>
  <c r="F310" i="2" s="1"/>
  <c r="E309" i="2"/>
  <c r="F309" i="2" s="1"/>
  <c r="E297" i="2"/>
  <c r="F297" i="2" s="1"/>
  <c r="E298" i="2"/>
  <c r="F298" i="2" s="1"/>
  <c r="E300" i="2"/>
  <c r="F300" i="2" s="1"/>
  <c r="E302" i="2" s="1"/>
  <c r="F302" i="2" s="1"/>
  <c r="E301" i="2"/>
  <c r="F301" i="2" s="1"/>
  <c r="E245" i="2"/>
  <c r="F245" i="2" s="1"/>
  <c r="E247" i="2"/>
  <c r="F247" i="2" s="1"/>
  <c r="E246" i="2"/>
  <c r="F246" i="2" s="1"/>
  <c r="E248" i="2"/>
  <c r="F248" i="2" s="1"/>
  <c r="E250" i="2" s="1"/>
  <c r="F250" i="2" s="1"/>
  <c r="F244" i="2" s="1"/>
  <c r="E249" i="2"/>
  <c r="F249" i="2" s="1"/>
  <c r="E238" i="2"/>
  <c r="F238" i="2" s="1"/>
  <c r="E240" i="2"/>
  <c r="F240" i="2" s="1"/>
  <c r="E239" i="2"/>
  <c r="F239" i="2" s="1"/>
  <c r="E241" i="2"/>
  <c r="F241" i="2" s="1"/>
  <c r="E242" i="2"/>
  <c r="F242" i="2" s="1"/>
  <c r="E243" i="2"/>
  <c r="F243" i="2" s="1"/>
  <c r="E230" i="2"/>
  <c r="F230" i="2" s="1"/>
  <c r="E231" i="2"/>
  <c r="F231" i="2" s="1"/>
  <c r="E232" i="2"/>
  <c r="F232" i="2" s="1"/>
  <c r="E234" i="2"/>
  <c r="F234" i="2" s="1"/>
  <c r="E235" i="2"/>
  <c r="F235" i="2" s="1"/>
  <c r="E222" i="2"/>
  <c r="F222" i="2" s="1"/>
  <c r="E225" i="2" s="1"/>
  <c r="F225" i="2" s="1"/>
  <c r="E223" i="2"/>
  <c r="F223" i="2" s="1"/>
  <c r="E224" i="2"/>
  <c r="F224" i="2" s="1"/>
  <c r="E226" i="2"/>
  <c r="F226" i="2"/>
  <c r="E227" i="2"/>
  <c r="F227" i="2"/>
  <c r="E215" i="2"/>
  <c r="F215" i="2"/>
  <c r="E216" i="2"/>
  <c r="F216" i="2"/>
  <c r="E218" i="2"/>
  <c r="F218" i="2"/>
  <c r="E219" i="2"/>
  <c r="F219" i="2"/>
  <c r="E1014" i="2"/>
  <c r="F1014" i="2"/>
  <c r="E1015" i="2" s="1"/>
  <c r="F1015" i="2"/>
  <c r="E1016" i="2"/>
  <c r="F1016" i="2"/>
  <c r="E1017" i="2"/>
  <c r="F1017" i="2"/>
  <c r="E179" i="2"/>
  <c r="F179" i="2"/>
  <c r="E181" i="2"/>
  <c r="F181" i="2"/>
  <c r="E182" i="2"/>
  <c r="F182" i="2"/>
  <c r="E172" i="2"/>
  <c r="F172" i="2"/>
  <c r="E173" i="2"/>
  <c r="F173" i="2" s="1"/>
  <c r="E174" i="2"/>
  <c r="F174" i="2" s="1"/>
  <c r="E176" i="2"/>
  <c r="F176" i="2" s="1"/>
  <c r="E177" i="2"/>
  <c r="F177" i="2" s="1"/>
  <c r="E169" i="2"/>
  <c r="F169" i="2" s="1"/>
  <c r="E1005" i="2"/>
  <c r="F1005" i="2" s="1"/>
  <c r="E1006" i="2"/>
  <c r="F1006" i="2" s="1"/>
  <c r="E1007" i="2"/>
  <c r="F1007" i="2" s="1"/>
  <c r="E1008" i="2"/>
  <c r="F1008" i="2" s="1"/>
  <c r="E1009" i="2"/>
  <c r="F1009" i="2" s="1"/>
  <c r="E1010" i="2"/>
  <c r="F1010" i="2" s="1"/>
  <c r="E1011" i="2"/>
  <c r="F1011" i="2" s="1"/>
  <c r="E1012" i="2" s="1"/>
  <c r="F1012" i="2" s="1"/>
  <c r="F1004" i="2" s="1"/>
  <c r="E996" i="2"/>
  <c r="F996" i="2"/>
  <c r="E997" i="2"/>
  <c r="F997" i="2"/>
  <c r="E998" i="2"/>
  <c r="F998" i="2"/>
  <c r="E999" i="2"/>
  <c r="F999" i="2"/>
  <c r="E1001" i="2"/>
  <c r="F1001" i="2"/>
  <c r="E1003" i="2" s="1"/>
  <c r="F1003" i="2" s="1"/>
  <c r="E1002" i="2"/>
  <c r="F1002" i="2"/>
  <c r="E987" i="2"/>
  <c r="F987" i="2"/>
  <c r="E988" i="2"/>
  <c r="F988" i="2"/>
  <c r="E989" i="2"/>
  <c r="F989" i="2"/>
  <c r="E990" i="2"/>
  <c r="F990" i="2"/>
  <c r="E992" i="2"/>
  <c r="F992" i="2"/>
  <c r="E993" i="2"/>
  <c r="F993" i="2"/>
  <c r="E162" i="2"/>
  <c r="F162" i="2"/>
  <c r="E164" i="2" s="1"/>
  <c r="F164" i="2" s="1"/>
  <c r="E163" i="2"/>
  <c r="F163" i="2"/>
  <c r="E165" i="2"/>
  <c r="F165" i="2"/>
  <c r="E166" i="2"/>
  <c r="F166" i="2"/>
  <c r="E155" i="2"/>
  <c r="F155" i="2"/>
  <c r="E156" i="2"/>
  <c r="F156" i="2"/>
  <c r="E158" i="2"/>
  <c r="F158" i="2"/>
  <c r="E159" i="2"/>
  <c r="F159" i="2"/>
  <c r="E1114" i="2"/>
  <c r="F1114" i="2" s="1"/>
  <c r="E1115" i="2"/>
  <c r="F1115" i="2" s="1"/>
  <c r="E1116" i="2" s="1"/>
  <c r="F1116" i="2" s="1"/>
  <c r="E1117" i="2"/>
  <c r="F1117" i="2" s="1"/>
  <c r="E1118" i="2"/>
  <c r="F1118" i="2" s="1"/>
  <c r="E1108" i="2"/>
  <c r="F1108" i="2" s="1"/>
  <c r="E1109" i="2"/>
  <c r="F1109" i="2" s="1"/>
  <c r="E1110" i="2" s="1"/>
  <c r="F1110" i="2" s="1"/>
  <c r="E1111" i="2"/>
  <c r="F1111" i="2" s="1"/>
  <c r="E1112" i="2" s="1"/>
  <c r="F1112" i="2" s="1"/>
  <c r="E1462" i="2"/>
  <c r="F1462" i="2" s="1"/>
  <c r="E1463" i="2"/>
  <c r="F1463" i="2" s="1"/>
  <c r="E1464" i="2"/>
  <c r="F1464" i="2" s="1"/>
  <c r="E1465" i="2"/>
  <c r="F1465" i="2" s="1"/>
  <c r="E1466" i="2"/>
  <c r="F1466" i="2" s="1"/>
  <c r="E1468" i="2"/>
  <c r="F1468" i="2" s="1"/>
  <c r="E1469" i="2"/>
  <c r="F1469" i="2" s="1"/>
  <c r="E1470" i="2" s="1"/>
  <c r="F1470" i="2" s="1"/>
  <c r="E1452" i="2"/>
  <c r="F1452" i="2" s="1"/>
  <c r="E1453" i="2"/>
  <c r="F1453" i="2" s="1"/>
  <c r="E1454" i="2"/>
  <c r="F1454" i="2" s="1"/>
  <c r="E1455" i="2"/>
  <c r="F1455" i="2" s="1"/>
  <c r="E1457" i="2" s="1"/>
  <c r="F1457" i="2" s="1"/>
  <c r="F1451" i="2" s="1"/>
  <c r="E1456" i="2"/>
  <c r="F1456" i="2" s="1"/>
  <c r="E1458" i="2"/>
  <c r="F1458" i="2" s="1"/>
  <c r="E1459" i="2"/>
  <c r="F1459" i="2" s="1"/>
  <c r="E1460" i="2" s="1"/>
  <c r="F1460" i="2" s="1"/>
  <c r="E1446" i="2"/>
  <c r="F1446" i="2"/>
  <c r="E1447" i="2"/>
  <c r="F1447" i="2"/>
  <c r="E1448" i="2"/>
  <c r="F1448" i="2"/>
  <c r="E1450" i="2" s="1"/>
  <c r="F1450" i="2" s="1"/>
  <c r="E1449" i="2"/>
  <c r="F1449" i="2"/>
  <c r="E150" i="2"/>
  <c r="F150" i="2"/>
  <c r="E151" i="2" s="1"/>
  <c r="F151" i="2" s="1"/>
  <c r="F149" i="2" s="1"/>
  <c r="E152" i="2"/>
  <c r="F152" i="2"/>
  <c r="E153" i="2" s="1"/>
  <c r="F153" i="2"/>
  <c r="E143" i="2"/>
  <c r="F143" i="2"/>
  <c r="E144" i="2"/>
  <c r="F144" i="2"/>
  <c r="E146" i="2"/>
  <c r="F146" i="2"/>
  <c r="E148" i="2" s="1"/>
  <c r="F148" i="2" s="1"/>
  <c r="E147" i="2"/>
  <c r="F147" i="2"/>
  <c r="E132" i="2"/>
  <c r="F132" i="2"/>
  <c r="E133" i="2"/>
  <c r="F133" i="2"/>
  <c r="E134" i="2"/>
  <c r="F134" i="2"/>
  <c r="E135" i="2"/>
  <c r="F135" i="2"/>
  <c r="E138" i="2"/>
  <c r="F138" i="2"/>
  <c r="E139" i="2"/>
  <c r="F139" i="2"/>
  <c r="E122" i="2"/>
  <c r="F122" i="2"/>
  <c r="E123" i="2"/>
  <c r="F123" i="2"/>
  <c r="E124" i="2"/>
  <c r="F124" i="2"/>
  <c r="E125" i="2"/>
  <c r="F125" i="2"/>
  <c r="E128" i="2"/>
  <c r="F128" i="2"/>
  <c r="E129" i="2"/>
  <c r="F129" i="2"/>
  <c r="E982" i="2"/>
  <c r="F982" i="2"/>
  <c r="E984" i="2"/>
  <c r="F984" i="2" s="1"/>
  <c r="E985" i="2"/>
  <c r="F985" i="2" s="1"/>
  <c r="E977" i="2"/>
  <c r="F977" i="2" s="1"/>
  <c r="E979" i="2"/>
  <c r="F979" i="2" s="1"/>
  <c r="E980" i="2" s="1"/>
  <c r="F980" i="2" s="1"/>
  <c r="E972" i="2"/>
  <c r="F972" i="2"/>
  <c r="E973" i="2" s="1"/>
  <c r="F973" i="2" s="1"/>
  <c r="E974" i="2"/>
  <c r="F974" i="2" s="1"/>
  <c r="E975" i="2" s="1"/>
  <c r="F975" i="2" s="1"/>
  <c r="E967" i="2"/>
  <c r="F967" i="2" s="1"/>
  <c r="E969" i="2"/>
  <c r="F969" i="2" s="1"/>
  <c r="E970" i="2" s="1"/>
  <c r="F970" i="2" s="1"/>
  <c r="E959" i="2"/>
  <c r="F959" i="2" s="1"/>
  <c r="E960" i="2"/>
  <c r="F960" i="2" s="1"/>
  <c r="E961" i="2"/>
  <c r="F961" i="2"/>
  <c r="E962" i="2"/>
  <c r="F962" i="2"/>
  <c r="E964" i="2"/>
  <c r="F964" i="2"/>
  <c r="E965" i="2" s="1"/>
  <c r="F965" i="2" s="1"/>
  <c r="E951" i="2"/>
  <c r="F951" i="2"/>
  <c r="E955" i="2" s="1"/>
  <c r="F955" i="2" s="1"/>
  <c r="E952" i="2"/>
  <c r="F952" i="2"/>
  <c r="E953" i="2"/>
  <c r="F953" i="2"/>
  <c r="E954" i="2"/>
  <c r="F954" i="2"/>
  <c r="E956" i="2"/>
  <c r="F956" i="2"/>
  <c r="E957" i="2" s="1"/>
  <c r="F957" i="2" s="1"/>
  <c r="E943" i="2"/>
  <c r="F943" i="2"/>
  <c r="E944" i="2"/>
  <c r="F944" i="2"/>
  <c r="E945" i="2"/>
  <c r="F945" i="2" s="1"/>
  <c r="E946" i="2"/>
  <c r="F946" i="2" s="1"/>
  <c r="E948" i="2"/>
  <c r="F948" i="2" s="1"/>
  <c r="E949" i="2" s="1"/>
  <c r="F949" i="2" s="1"/>
  <c r="E1438" i="2"/>
  <c r="F1438" i="2" s="1"/>
  <c r="E1439" i="2"/>
  <c r="F1439" i="2" s="1"/>
  <c r="E1440" i="2"/>
  <c r="F1440" i="2" s="1"/>
  <c r="E1442" i="2"/>
  <c r="F1442" i="2" s="1"/>
  <c r="E1444" i="2" s="1"/>
  <c r="F1444" i="2" s="1"/>
  <c r="E1443" i="2"/>
  <c r="F1443" i="2" s="1"/>
  <c r="E1430" i="2"/>
  <c r="F1430" i="2" s="1"/>
  <c r="E1431" i="2"/>
  <c r="F1431" i="2" s="1"/>
  <c r="E1432" i="2"/>
  <c r="F1432" i="2" s="1"/>
  <c r="E1434" i="2"/>
  <c r="F1434" i="2" s="1"/>
  <c r="E1435" i="2"/>
  <c r="F1435" i="2" s="1"/>
  <c r="E1421" i="2"/>
  <c r="F1421" i="2" s="1"/>
  <c r="E1422" i="2"/>
  <c r="F1422" i="2" s="1"/>
  <c r="E1423" i="2"/>
  <c r="F1423" i="2" s="1"/>
  <c r="E1424" i="2"/>
  <c r="F1424" i="2" s="1"/>
  <c r="E1426" i="2"/>
  <c r="F1426" i="2" s="1"/>
  <c r="E1427" i="2"/>
  <c r="F1427" i="2" s="1"/>
  <c r="E1397" i="2"/>
  <c r="F1397" i="2" s="1"/>
  <c r="E1398" i="2"/>
  <c r="F1398" i="2" s="1"/>
  <c r="E1399" i="2"/>
  <c r="F1399" i="2" s="1"/>
  <c r="E1401" i="2"/>
  <c r="F1401" i="2" s="1"/>
  <c r="E1403" i="2" s="1"/>
  <c r="F1403" i="2" s="1"/>
  <c r="E1402" i="2"/>
  <c r="F1402" i="2" s="1"/>
  <c r="E932" i="2"/>
  <c r="F932" i="2" s="1"/>
  <c r="E933" i="2"/>
  <c r="F933" i="2" s="1"/>
  <c r="E934" i="2"/>
  <c r="F934" i="2" s="1"/>
  <c r="E935" i="2"/>
  <c r="F935" i="2" s="1"/>
  <c r="E936" i="2"/>
  <c r="F936" i="2" s="1"/>
  <c r="E937" i="2"/>
  <c r="F937" i="2" s="1"/>
  <c r="E939" i="2"/>
  <c r="F939" i="2" s="1"/>
  <c r="E941" i="2" s="1"/>
  <c r="F941" i="2" s="1"/>
  <c r="E940" i="2"/>
  <c r="F940" i="2" s="1"/>
  <c r="E923" i="2"/>
  <c r="F923" i="2" s="1"/>
  <c r="E924" i="2"/>
  <c r="F924" i="2" s="1"/>
  <c r="E926" i="2"/>
  <c r="F926" i="2" s="1"/>
  <c r="E928" i="2"/>
  <c r="F928" i="2" s="1"/>
  <c r="E929" i="2"/>
  <c r="F929" i="2" s="1"/>
  <c r="E116" i="2"/>
  <c r="F116" i="2" s="1"/>
  <c r="E117" i="2"/>
  <c r="F117" i="2" s="1"/>
  <c r="E118" i="2"/>
  <c r="F118" i="2" s="1"/>
  <c r="E119" i="2"/>
  <c r="F119" i="2" s="1"/>
  <c r="E120" i="2" s="1"/>
  <c r="F120" i="2" s="1"/>
  <c r="E1373" i="2"/>
  <c r="F1373" i="2" s="1"/>
  <c r="E1374" i="2"/>
  <c r="F1374" i="2" s="1"/>
  <c r="E1375" i="2"/>
  <c r="F1375" i="2" s="1"/>
  <c r="E1376" i="2"/>
  <c r="F1376" i="2" s="1"/>
  <c r="E1377" i="2"/>
  <c r="F1377" i="2" s="1"/>
  <c r="E1378" i="2"/>
  <c r="F1378" i="2" s="1"/>
  <c r="E1379" i="2"/>
  <c r="F1379" i="2" s="1"/>
  <c r="E1381" i="2"/>
  <c r="F1381" i="2" s="1"/>
  <c r="E1383" i="2" s="1"/>
  <c r="F1383" i="2" s="1"/>
  <c r="E1382" i="2"/>
  <c r="F1382" i="2" s="1"/>
  <c r="E916" i="2"/>
  <c r="F916" i="2" s="1"/>
  <c r="E917" i="2"/>
  <c r="F917" i="2" s="1"/>
  <c r="E919" i="2"/>
  <c r="F919" i="2" s="1"/>
  <c r="E921" i="2" s="1"/>
  <c r="F921" i="2" s="1"/>
  <c r="E920" i="2"/>
  <c r="F920" i="2" s="1"/>
  <c r="E912" i="2"/>
  <c r="F912" i="2"/>
  <c r="E913" i="2"/>
  <c r="F913" i="2"/>
  <c r="E903" i="2"/>
  <c r="F903" i="2"/>
  <c r="E904" i="2" s="1"/>
  <c r="F904" i="2" s="1"/>
  <c r="E905" i="2"/>
  <c r="F905" i="2" s="1"/>
  <c r="E906" i="2" s="1"/>
  <c r="F906" i="2" s="1"/>
  <c r="E892" i="2"/>
  <c r="F892" i="2" s="1"/>
  <c r="E894" i="2"/>
  <c r="F894" i="2" s="1"/>
  <c r="E895" i="2"/>
  <c r="F895" i="2" s="1"/>
  <c r="E896" i="2"/>
  <c r="F896" i="2" s="1"/>
  <c r="E897" i="2"/>
  <c r="F897" i="2" s="1"/>
  <c r="E899" i="2"/>
  <c r="F899" i="2" s="1"/>
  <c r="E901" i="2" s="1"/>
  <c r="F901" i="2" s="1"/>
  <c r="E900" i="2"/>
  <c r="F900" i="2" s="1"/>
  <c r="E875" i="2"/>
  <c r="F875" i="2" s="1"/>
  <c r="E876" i="2"/>
  <c r="F876" i="2" s="1"/>
  <c r="E878" i="2"/>
  <c r="F878" i="2" s="1"/>
  <c r="E879" i="2" s="1"/>
  <c r="F879" i="2" s="1"/>
  <c r="E869" i="2"/>
  <c r="F869" i="2" s="1"/>
  <c r="E870" i="2"/>
  <c r="F870" i="2" s="1"/>
  <c r="E872" i="2"/>
  <c r="F872" i="2" s="1"/>
  <c r="E873" i="2" s="1"/>
  <c r="F873" i="2" s="1"/>
  <c r="E860" i="2"/>
  <c r="F860" i="2" s="1"/>
  <c r="E861" i="2"/>
  <c r="F861" i="2" s="1"/>
  <c r="E862" i="2"/>
  <c r="F862" i="2" s="1"/>
  <c r="E863" i="2"/>
  <c r="F863" i="2" s="1"/>
  <c r="E865" i="2"/>
  <c r="F865" i="2" s="1"/>
  <c r="E867" i="2" s="1"/>
  <c r="F867" i="2" s="1"/>
  <c r="E866" i="2"/>
  <c r="F866" i="2" s="1"/>
  <c r="E93" i="2"/>
  <c r="F93" i="2" s="1"/>
  <c r="E94" i="2"/>
  <c r="F94" i="2" s="1"/>
  <c r="E95" i="2"/>
  <c r="F95" i="2" s="1"/>
  <c r="E98" i="2"/>
  <c r="F98" i="2"/>
  <c r="E99" i="2"/>
  <c r="F99" i="2"/>
  <c r="E19" i="2"/>
  <c r="F19" i="2"/>
  <c r="E21" i="2" s="1"/>
  <c r="F21" i="2" s="1"/>
  <c r="E20" i="2"/>
  <c r="F20" i="2"/>
  <c r="F6" i="2"/>
  <c r="E7" i="2"/>
  <c r="F7" i="2" s="1"/>
  <c r="E9" i="2"/>
  <c r="F9" i="2" s="1"/>
  <c r="E10" i="2"/>
  <c r="F10" i="2" s="1"/>
  <c r="E343" i="2"/>
  <c r="E468" i="2"/>
  <c r="E1527" i="2"/>
  <c r="F468" i="2"/>
  <c r="F1527" i="2"/>
  <c r="E100" i="2"/>
  <c r="F100" i="2" s="1"/>
  <c r="E978" i="2"/>
  <c r="F978" i="2"/>
  <c r="F976" i="2" s="1"/>
  <c r="E130" i="2"/>
  <c r="F130" i="2" s="1"/>
  <c r="E126" i="2"/>
  <c r="F126" i="2" s="1"/>
  <c r="F121" i="2" s="1"/>
  <c r="E127" i="2"/>
  <c r="F127" i="2" s="1"/>
  <c r="E180" i="2"/>
  <c r="F180" i="2"/>
  <c r="E217" i="2"/>
  <c r="F217" i="2"/>
  <c r="E233" i="2"/>
  <c r="F233" i="2"/>
  <c r="F229" i="2" s="1"/>
  <c r="F237" i="2"/>
  <c r="E315" i="2"/>
  <c r="F315" i="2" s="1"/>
  <c r="F311" i="2" s="1"/>
  <c r="E1021" i="2"/>
  <c r="F1021" i="2"/>
  <c r="F1019" i="2" s="1"/>
  <c r="E364" i="2"/>
  <c r="F364" i="2" s="1"/>
  <c r="E377" i="2"/>
  <c r="F377" i="2" s="1"/>
  <c r="F373" i="2" s="1"/>
  <c r="E1045" i="2"/>
  <c r="F1045" i="2"/>
  <c r="E1042" i="2"/>
  <c r="F1042" i="2"/>
  <c r="F1037" i="2" s="1"/>
  <c r="E1057" i="2"/>
  <c r="F1057" i="2" s="1"/>
  <c r="F1053" i="2" s="1"/>
  <c r="E447" i="2"/>
  <c r="F447" i="2"/>
  <c r="F442" i="2" s="1"/>
  <c r="F1075" i="2"/>
  <c r="E914" i="2"/>
  <c r="F914" i="2" s="1"/>
  <c r="E1467" i="2"/>
  <c r="F1467" i="2" s="1"/>
  <c r="F1461" i="2" s="1"/>
  <c r="E167" i="2"/>
  <c r="F167" i="2" s="1"/>
  <c r="E1000" i="2"/>
  <c r="F1000" i="2" s="1"/>
  <c r="F995" i="2" s="1"/>
  <c r="E170" i="2"/>
  <c r="F170" i="2"/>
  <c r="F168" i="2" s="1"/>
  <c r="E183" i="2"/>
  <c r="F183" i="2" s="1"/>
  <c r="E220" i="2"/>
  <c r="F220" i="2" s="1"/>
  <c r="F214" i="2" s="1"/>
  <c r="E236" i="2"/>
  <c r="F236" i="2"/>
  <c r="E299" i="2"/>
  <c r="F299" i="2" s="1"/>
  <c r="F296" i="2" s="1"/>
  <c r="F344" i="2"/>
  <c r="E361" i="2"/>
  <c r="F361" i="2" s="1"/>
  <c r="F357" i="2" s="1"/>
  <c r="E394" i="2"/>
  <c r="F394" i="2"/>
  <c r="F389" i="2" s="1"/>
  <c r="E424" i="2"/>
  <c r="F424" i="2" s="1"/>
  <c r="F420" i="2" s="1"/>
  <c r="E1072" i="2"/>
  <c r="F1072" i="2"/>
  <c r="F1070" i="2" s="1"/>
  <c r="E1489" i="2"/>
  <c r="F1489" i="2" s="1"/>
  <c r="F1479" i="2" s="1"/>
  <c r="F1500" i="2"/>
  <c r="F462" i="2"/>
  <c r="E470" i="2"/>
  <c r="F470" i="2"/>
  <c r="F467" i="2" s="1"/>
  <c r="E1525" i="2"/>
  <c r="F1525" i="2" s="1"/>
  <c r="F1522" i="2" s="1"/>
  <c r="F1097" i="2"/>
  <c r="E486" i="2"/>
  <c r="F486" i="2" s="1"/>
  <c r="E508" i="2"/>
  <c r="F508" i="2" s="1"/>
  <c r="F501" i="2" s="1"/>
  <c r="E1163" i="2"/>
  <c r="F1163" i="2"/>
  <c r="F1160" i="2" s="1"/>
  <c r="E1177" i="2"/>
  <c r="F1177" i="2" s="1"/>
  <c r="F1173" i="2" s="1"/>
  <c r="E1192" i="2"/>
  <c r="F1192" i="2"/>
  <c r="F1187" i="2" s="1"/>
  <c r="E631" i="2"/>
  <c r="F631" i="2" s="1"/>
  <c r="F629" i="2" s="1"/>
  <c r="E641" i="2"/>
  <c r="F641" i="2"/>
  <c r="F639" i="2" s="1"/>
  <c r="F1221" i="2"/>
  <c r="F1269" i="2"/>
  <c r="F381" i="2"/>
  <c r="F404" i="2"/>
  <c r="F435" i="2"/>
  <c r="E1082" i="2"/>
  <c r="F1082" i="2" s="1"/>
  <c r="F1080" i="2" s="1"/>
  <c r="E461" i="2"/>
  <c r="F461" i="2"/>
  <c r="E1513" i="2"/>
  <c r="F1513" i="2"/>
  <c r="F1510" i="2" s="1"/>
  <c r="F1092" i="2"/>
  <c r="E477" i="2"/>
  <c r="F477" i="2"/>
  <c r="E474" i="2"/>
  <c r="F474" i="2"/>
  <c r="F471" i="2" s="1"/>
  <c r="E489" i="2"/>
  <c r="F489" i="2" s="1"/>
  <c r="E565" i="2"/>
  <c r="F565" i="2"/>
  <c r="E1137" i="2"/>
  <c r="F1137" i="2"/>
  <c r="F1133" i="2" s="1"/>
  <c r="E1151" i="2"/>
  <c r="F1151" i="2" s="1"/>
  <c r="F1147" i="2" s="1"/>
  <c r="E417" i="2"/>
  <c r="F417" i="2"/>
  <c r="F412" i="2" s="1"/>
  <c r="E646" i="2" s="1"/>
  <c r="F646" i="2" s="1"/>
  <c r="F338" i="2"/>
  <c r="E1220" i="2"/>
  <c r="F1220" i="2"/>
  <c r="F1213" i="2" s="1"/>
  <c r="E1236" i="2"/>
  <c r="F1236" i="2" s="1"/>
  <c r="F1229" i="2" s="1"/>
  <c r="E1252" i="2"/>
  <c r="F1252" i="2"/>
  <c r="F1245" i="2" s="1"/>
  <c r="E1268" i="2"/>
  <c r="F1268" i="2" s="1"/>
  <c r="F1261" i="2" s="1"/>
  <c r="E1292" i="2"/>
  <c r="F1292" i="2"/>
  <c r="F1285" i="2" s="1"/>
  <c r="F109" i="2"/>
  <c r="F1085" i="2"/>
  <c r="F1516" i="2"/>
  <c r="F1528" i="2"/>
  <c r="F490" i="2"/>
  <c r="F512" i="2"/>
  <c r="F1119" i="2"/>
  <c r="F1140" i="2"/>
  <c r="E569" i="2"/>
  <c r="F569" i="2" s="1"/>
  <c r="F1154" i="2"/>
  <c r="F1166" i="2"/>
  <c r="F1180" i="2"/>
  <c r="F1196" i="2"/>
  <c r="F634" i="2"/>
  <c r="E698" i="2"/>
  <c r="F698" i="2" s="1"/>
  <c r="F696" i="2" s="1"/>
  <c r="E708" i="2"/>
  <c r="F708" i="2"/>
  <c r="E712" i="2"/>
  <c r="F712" i="2"/>
  <c r="F709" i="2" s="1"/>
  <c r="E730" i="2"/>
  <c r="F730" i="2" s="1"/>
  <c r="E727" i="2"/>
  <c r="F727" i="2" s="1"/>
  <c r="E744" i="2"/>
  <c r="F744" i="2"/>
  <c r="E741" i="2"/>
  <c r="F741" i="2"/>
  <c r="F738" i="2" s="1"/>
  <c r="E758" i="2"/>
  <c r="F758" i="2" s="1"/>
  <c r="E755" i="2"/>
  <c r="F755" i="2" s="1"/>
  <c r="E779" i="2"/>
  <c r="F779" i="2"/>
  <c r="E819" i="2"/>
  <c r="F819" i="2"/>
  <c r="F816" i="2" s="1"/>
  <c r="E1584" i="2"/>
  <c r="F1584" i="2" s="1"/>
  <c r="E1589" i="2"/>
  <c r="F1589" i="2" s="1"/>
  <c r="E1317" i="2"/>
  <c r="F1317" i="2"/>
  <c r="E1314" i="2"/>
  <c r="F1314" i="2"/>
  <c r="F1309" i="2" s="1"/>
  <c r="E1335" i="2"/>
  <c r="F1335" i="2" s="1"/>
  <c r="E1332" i="2"/>
  <c r="F1332" i="2" s="1"/>
  <c r="F673" i="2"/>
  <c r="E705" i="2"/>
  <c r="F705" i="2" s="1"/>
  <c r="F702" i="2" s="1"/>
  <c r="E776" i="2"/>
  <c r="F776" i="2"/>
  <c r="F770" i="2" s="1"/>
  <c r="E790" i="2"/>
  <c r="F790" i="2" s="1"/>
  <c r="F787" i="2" s="1"/>
  <c r="E804" i="2"/>
  <c r="F804" i="2"/>
  <c r="F801" i="2" s="1"/>
  <c r="E1366" i="2"/>
  <c r="F1366" i="2" s="1"/>
  <c r="E68" i="2"/>
  <c r="F68" i="2"/>
  <c r="E88" i="2"/>
  <c r="F88" i="2" s="1"/>
  <c r="K79" i="2"/>
  <c r="E292" i="2"/>
  <c r="F292" i="2" s="1"/>
  <c r="F281" i="2" s="1"/>
  <c r="E295" i="2"/>
  <c r="F295" i="2"/>
  <c r="F325" i="2"/>
  <c r="F1593" i="2"/>
  <c r="F1318" i="2"/>
  <c r="F1336" i="2"/>
  <c r="E31" i="2"/>
  <c r="F31" i="2" s="1"/>
  <c r="E28" i="2"/>
  <c r="F28" i="2" s="1"/>
  <c r="F22" i="2" s="1"/>
  <c r="F75" i="2"/>
  <c r="E353" i="2"/>
  <c r="F353" i="2" s="1"/>
  <c r="F349" i="2" s="1"/>
  <c r="E186" i="2"/>
  <c r="F186" i="2" s="1"/>
  <c r="F184" i="2" s="1"/>
  <c r="E204" i="2"/>
  <c r="F204" i="2" s="1"/>
  <c r="F202" i="2" s="1"/>
  <c r="E210" i="2"/>
  <c r="F210" i="2" s="1"/>
  <c r="F208" i="2" s="1"/>
  <c r="F828" i="2"/>
  <c r="F1277" i="2"/>
  <c r="E628" i="2"/>
  <c r="F628" i="2"/>
  <c r="F292" i="1"/>
  <c r="E849" i="2"/>
  <c r="F849" i="2" s="1"/>
  <c r="F257" i="1"/>
  <c r="E1294" i="2"/>
  <c r="F1294" i="2"/>
  <c r="E1408" i="2"/>
  <c r="F1408" i="2" s="1"/>
  <c r="E1416" i="2"/>
  <c r="F1416" i="2"/>
  <c r="E1419" i="2"/>
  <c r="F1419" i="2" s="1"/>
  <c r="E593" i="2"/>
  <c r="F593" i="2"/>
  <c r="F590" i="2" s="1"/>
  <c r="E600" i="2"/>
  <c r="F600" i="2"/>
  <c r="F597" i="2" s="1"/>
  <c r="E603" i="2"/>
  <c r="F603" i="2" s="1"/>
  <c r="F604" i="2"/>
  <c r="E1128" i="2"/>
  <c r="F1128" i="2" s="1"/>
  <c r="E654" i="2"/>
  <c r="F654" i="2" s="1"/>
  <c r="E645" i="2"/>
  <c r="F645" i="2" s="1"/>
  <c r="E136" i="2"/>
  <c r="F136" i="2" s="1"/>
  <c r="E1577" i="2"/>
  <c r="F1577" i="2"/>
  <c r="E1543" i="2"/>
  <c r="F1543" i="2"/>
  <c r="E1129" i="2"/>
  <c r="F1129" i="2"/>
  <c r="E559" i="2"/>
  <c r="F559" i="2"/>
  <c r="E531" i="2"/>
  <c r="F531" i="2"/>
  <c r="E533" i="2" s="1"/>
  <c r="F533" i="2" s="1"/>
  <c r="E545" i="2"/>
  <c r="F545" i="2"/>
  <c r="E547" i="2" s="1"/>
  <c r="F547" i="2" s="1"/>
  <c r="E1103" i="2"/>
  <c r="F1103" i="2"/>
  <c r="E1104" i="2"/>
  <c r="F1104" i="2" s="1"/>
  <c r="F1102" i="2" s="1"/>
  <c r="E534" i="2"/>
  <c r="F534" i="2" s="1"/>
  <c r="E1581" i="2"/>
  <c r="F1581" i="2" s="1"/>
  <c r="F1570" i="2" s="1"/>
  <c r="E562" i="2"/>
  <c r="F562" i="2" s="1"/>
  <c r="E561" i="2"/>
  <c r="F561" i="2" s="1"/>
  <c r="E137" i="2" l="1"/>
  <c r="F137" i="2" s="1"/>
  <c r="F552" i="2"/>
  <c r="E647" i="2"/>
  <c r="F647" i="2" s="1"/>
  <c r="F644" i="2" s="1"/>
  <c r="E1130" i="2"/>
  <c r="F1130" i="2" s="1"/>
  <c r="F1126" i="2" s="1"/>
  <c r="F1412" i="2"/>
  <c r="E851" i="2"/>
  <c r="F851" i="2" s="1"/>
  <c r="F848" i="2" s="1"/>
  <c r="F1327" i="2"/>
  <c r="F752" i="2"/>
  <c r="F724" i="2"/>
  <c r="F478" i="2"/>
  <c r="F178" i="2"/>
  <c r="E11" i="2"/>
  <c r="F11" i="2" s="1"/>
  <c r="E871" i="2"/>
  <c r="F871" i="2" s="1"/>
  <c r="F868" i="2"/>
  <c r="E898" i="2"/>
  <c r="F898" i="2" s="1"/>
  <c r="F891" i="2"/>
  <c r="E1380" i="2"/>
  <c r="F1380" i="2" s="1"/>
  <c r="F1372" i="2" s="1"/>
  <c r="F115" i="2"/>
  <c r="E930" i="2"/>
  <c r="F930" i="2" s="1"/>
  <c r="E1400" i="2"/>
  <c r="F1400" i="2" s="1"/>
  <c r="F1396" i="2" s="1"/>
  <c r="E1428" i="2"/>
  <c r="F1428" i="2" s="1"/>
  <c r="F1420" i="2"/>
  <c r="E1425" i="2"/>
  <c r="F1425" i="2" s="1"/>
  <c r="E1436" i="2"/>
  <c r="F1436" i="2" s="1"/>
  <c r="E1441" i="2"/>
  <c r="F1441" i="2" s="1"/>
  <c r="F1437" i="2"/>
  <c r="E947" i="2"/>
  <c r="F947" i="2" s="1"/>
  <c r="F1445" i="2"/>
  <c r="F1024" i="2"/>
  <c r="F365" i="2"/>
  <c r="E585" i="2"/>
  <c r="F585" i="2" s="1"/>
  <c r="E577" i="2"/>
  <c r="F577" i="2" s="1"/>
  <c r="E457" i="2"/>
  <c r="F457" i="2" s="1"/>
  <c r="F453" i="2" s="1"/>
  <c r="E8" i="2"/>
  <c r="F8" i="2" s="1"/>
  <c r="F5" i="2"/>
  <c r="E864" i="2"/>
  <c r="F864" i="2" s="1"/>
  <c r="F859" i="2" s="1"/>
  <c r="E877" i="2"/>
  <c r="F877" i="2" s="1"/>
  <c r="F874" i="2" s="1"/>
  <c r="E918" i="2"/>
  <c r="F918" i="2" s="1"/>
  <c r="F915" i="2"/>
  <c r="E927" i="2"/>
  <c r="F927" i="2" s="1"/>
  <c r="F922" i="2" s="1"/>
  <c r="E938" i="2"/>
  <c r="F938" i="2" s="1"/>
  <c r="F931" i="2"/>
  <c r="E1433" i="2"/>
  <c r="F1433" i="2" s="1"/>
  <c r="F1429" i="2" s="1"/>
  <c r="E963" i="2"/>
  <c r="F963" i="2" s="1"/>
  <c r="F958" i="2"/>
  <c r="E968" i="2"/>
  <c r="F968" i="2" s="1"/>
  <c r="F966" i="2"/>
  <c r="E157" i="2"/>
  <c r="F157" i="2" s="1"/>
  <c r="E991" i="2"/>
  <c r="F991" i="2" s="1"/>
  <c r="E1018" i="2"/>
  <c r="F1018" i="2" s="1"/>
  <c r="F1013" i="2" s="1"/>
  <c r="E228" i="2"/>
  <c r="F228" i="2" s="1"/>
  <c r="F221" i="2" s="1"/>
  <c r="E1067" i="2"/>
  <c r="F1067" i="2" s="1"/>
  <c r="F1065" i="2" s="1"/>
  <c r="F1471" i="2"/>
  <c r="E140" i="2"/>
  <c r="F140" i="2" s="1"/>
  <c r="F131" i="2" s="1"/>
  <c r="E548" i="2"/>
  <c r="F548" i="2" s="1"/>
  <c r="F524" i="2"/>
  <c r="F1113" i="2"/>
  <c r="F950" i="2"/>
  <c r="F161" i="2"/>
  <c r="F1107" i="2"/>
  <c r="F902" i="2"/>
  <c r="F942" i="2"/>
  <c r="F971" i="2"/>
  <c r="E983" i="2"/>
  <c r="F983" i="2" s="1"/>
  <c r="F981" i="2" s="1"/>
  <c r="E160" i="2"/>
  <c r="F160" i="2" s="1"/>
  <c r="F154" i="2" s="1"/>
  <c r="E994" i="2"/>
  <c r="F994" i="2" s="1"/>
  <c r="E175" i="2"/>
  <c r="F175" i="2" s="1"/>
  <c r="F171" i="2" s="1"/>
  <c r="E1033" i="2"/>
  <c r="F1033" i="2" s="1"/>
  <c r="F1029" i="2" s="1"/>
  <c r="E1050" i="2"/>
  <c r="F1050" i="2" s="1"/>
  <c r="F1046" i="2" s="1"/>
  <c r="F1060" i="2"/>
  <c r="E551" i="2"/>
  <c r="F551" i="2" s="1"/>
  <c r="F538" i="2" s="1"/>
  <c r="F427" i="2"/>
  <c r="E1212" i="2"/>
  <c r="F1212" i="2" s="1"/>
  <c r="F1205" i="2" s="1"/>
  <c r="E1244" i="2"/>
  <c r="F1244" i="2" s="1"/>
  <c r="F1237" i="2" s="1"/>
  <c r="E1306" i="2"/>
  <c r="F1306" i="2" s="1"/>
  <c r="F1301" i="2" s="1"/>
  <c r="E401" i="2"/>
  <c r="F401" i="2" s="1"/>
  <c r="F397" i="2" s="1"/>
  <c r="E652" i="2" s="1"/>
  <c r="F652" i="2" s="1"/>
  <c r="E105" i="2"/>
  <c r="F105" i="2" s="1"/>
  <c r="F101" i="2" s="1"/>
  <c r="E695" i="2"/>
  <c r="F695" i="2" s="1"/>
  <c r="E41" i="2"/>
  <c r="F41" i="2" s="1"/>
  <c r="F665" i="2"/>
  <c r="E51" i="2"/>
  <c r="F51" i="2" s="1"/>
  <c r="E91" i="2"/>
  <c r="F91" i="2" s="1"/>
  <c r="F82" i="2" s="1"/>
  <c r="F71" i="2"/>
  <c r="F62" i="2" s="1"/>
  <c r="F664" i="2"/>
  <c r="F659" i="2" s="1"/>
  <c r="F688" i="2"/>
  <c r="F683" i="2" s="1"/>
  <c r="F723" i="2"/>
  <c r="F716" i="2" s="1"/>
  <c r="F737" i="2"/>
  <c r="F731" i="2" s="1"/>
  <c r="F751" i="2"/>
  <c r="F745" i="2" s="1"/>
  <c r="F769" i="2"/>
  <c r="F759" i="2" s="1"/>
  <c r="F786" i="2"/>
  <c r="F780" i="2" s="1"/>
  <c r="F800" i="2"/>
  <c r="F794" i="2" s="1"/>
  <c r="F815" i="2"/>
  <c r="F808" i="2" s="1"/>
  <c r="F827" i="2"/>
  <c r="F822" i="2" s="1"/>
  <c r="F1592" i="2"/>
  <c r="F1585" i="2" s="1"/>
  <c r="F1368" i="2"/>
  <c r="F1363" i="2" s="1"/>
  <c r="E277" i="2"/>
  <c r="F277" i="2" s="1"/>
  <c r="E280" i="2"/>
  <c r="F280" i="2" s="1"/>
  <c r="F167" i="1"/>
  <c r="E254" i="2"/>
  <c r="F254" i="2" s="1"/>
  <c r="E908" i="2"/>
  <c r="F908" i="2" s="1"/>
  <c r="F47" i="1"/>
  <c r="E1606" i="2"/>
  <c r="F1606" i="2" s="1"/>
  <c r="E1409" i="2"/>
  <c r="F1409" i="2" s="1"/>
  <c r="E1254" i="2"/>
  <c r="F1254" i="2" s="1"/>
  <c r="F1253" i="2" s="1"/>
  <c r="E1547" i="2"/>
  <c r="F1547" i="2" s="1"/>
  <c r="E1549" i="2" s="1"/>
  <c r="F1549" i="2" s="1"/>
  <c r="E1540" i="2"/>
  <c r="F1540" i="2" s="1"/>
  <c r="E691" i="2"/>
  <c r="F691" i="2" s="1"/>
  <c r="F689" i="2" s="1"/>
  <c r="E96" i="2"/>
  <c r="F96" i="2" s="1"/>
  <c r="E97" i="2" s="1"/>
  <c r="F97" i="2" s="1"/>
  <c r="E17" i="2"/>
  <c r="F17" i="2" s="1"/>
  <c r="E16" i="2"/>
  <c r="F16" i="2" s="1"/>
  <c r="E36" i="2"/>
  <c r="F36" i="2" s="1"/>
  <c r="E35" i="2"/>
  <c r="F35" i="2" s="1"/>
  <c r="E57" i="2"/>
  <c r="F57" i="2" s="1"/>
  <c r="E46" i="2"/>
  <c r="F46" i="2" s="1"/>
  <c r="E76" i="2"/>
  <c r="F76" i="2" s="1"/>
  <c r="E1387" i="2"/>
  <c r="F1387" i="2" s="1"/>
  <c r="E1392" i="2" s="1"/>
  <c r="F1392" i="2" s="1"/>
  <c r="E1561" i="2"/>
  <c r="F1561" i="2" s="1"/>
  <c r="E1562" i="2"/>
  <c r="F1562" i="2" s="1"/>
  <c r="E1564" i="2"/>
  <c r="F1564" i="2" s="1"/>
  <c r="E1567" i="2"/>
  <c r="F1567" i="2" s="1"/>
  <c r="E1569" i="2" s="1"/>
  <c r="F1569" i="2" s="1"/>
  <c r="F256" i="2"/>
  <c r="E835" i="2"/>
  <c r="F835" i="2" s="1"/>
  <c r="E1552" i="2"/>
  <c r="F1552" i="2" s="1"/>
  <c r="E1554" i="2"/>
  <c r="F1554" i="2" s="1"/>
  <c r="E1557" i="2"/>
  <c r="F1557" i="2" s="1"/>
  <c r="E1559" i="2" s="1"/>
  <c r="F1559" i="2" s="1"/>
  <c r="E612" i="2"/>
  <c r="F612" i="2" s="1"/>
  <c r="E624" i="2"/>
  <c r="F624" i="2" s="1"/>
  <c r="F618" i="2"/>
  <c r="F321" i="1"/>
  <c r="F301" i="1"/>
  <c r="F100" i="1"/>
  <c r="E320" i="2"/>
  <c r="F320" i="2" s="1"/>
  <c r="F29" i="1"/>
  <c r="E197" i="2"/>
  <c r="F197" i="2" s="1"/>
  <c r="F34" i="1"/>
  <c r="E191" i="2"/>
  <c r="F191" i="2" s="1"/>
  <c r="E193" i="2"/>
  <c r="F193" i="2" s="1"/>
  <c r="E199" i="2"/>
  <c r="F199" i="2" s="1"/>
  <c r="E336" i="2"/>
  <c r="F336" i="2" s="1"/>
  <c r="E337" i="2" s="1"/>
  <c r="F337" i="2" s="1"/>
  <c r="E323" i="2"/>
  <c r="F323" i="2" s="1"/>
  <c r="E324" i="2" s="1"/>
  <c r="F324" i="2" s="1"/>
  <c r="E1299" i="2"/>
  <c r="F1299" i="2" s="1"/>
  <c r="E1300" i="2" s="1"/>
  <c r="F1300" i="2" s="1"/>
  <c r="E1410" i="2"/>
  <c r="F1410" i="2" s="1"/>
  <c r="E853" i="2"/>
  <c r="F853" i="2" s="1"/>
  <c r="E854" i="2" s="1"/>
  <c r="F854" i="2" s="1"/>
  <c r="E1361" i="2"/>
  <c r="F1361" i="2" s="1"/>
  <c r="E839" i="2"/>
  <c r="F839" i="2" s="1"/>
  <c r="E840" i="2" s="1"/>
  <c r="F840" i="2" s="1"/>
  <c r="E1352" i="2"/>
  <c r="F1352" i="2" s="1"/>
  <c r="E1353" i="2" s="1"/>
  <c r="F1353" i="2" s="1"/>
  <c r="E194" i="2"/>
  <c r="F194" i="2" s="1"/>
  <c r="E200" i="2"/>
  <c r="F200" i="2" s="1"/>
  <c r="E889" i="2"/>
  <c r="F889" i="2" s="1"/>
  <c r="E890" i="2" s="1"/>
  <c r="F890" i="2" s="1"/>
  <c r="F283" i="1"/>
  <c r="E1348" i="2"/>
  <c r="F1348" i="2" s="1"/>
  <c r="E885" i="2"/>
  <c r="F885" i="2" s="1"/>
  <c r="E58" i="2" l="1"/>
  <c r="F58" i="2" s="1"/>
  <c r="F52" i="2" s="1"/>
  <c r="E576" i="2"/>
  <c r="F576" i="2" s="1"/>
  <c r="E584" i="2"/>
  <c r="F584" i="2" s="1"/>
  <c r="E568" i="2"/>
  <c r="F568" i="2" s="1"/>
  <c r="E142" i="2"/>
  <c r="F142" i="2" s="1"/>
  <c r="E201" i="2"/>
  <c r="F201" i="2" s="1"/>
  <c r="E192" i="2"/>
  <c r="F192" i="2" s="1"/>
  <c r="E198" i="2"/>
  <c r="F198" i="2" s="1"/>
  <c r="F196" i="2"/>
  <c r="E321" i="2"/>
  <c r="F321" i="2" s="1"/>
  <c r="F319" i="2"/>
  <c r="E625" i="2"/>
  <c r="F625" i="2" s="1"/>
  <c r="F623" i="2"/>
  <c r="F1550" i="2"/>
  <c r="E837" i="2"/>
  <c r="F837" i="2" s="1"/>
  <c r="F834" i="2" s="1"/>
  <c r="F1560" i="2"/>
  <c r="E78" i="2"/>
  <c r="F78" i="2" s="1"/>
  <c r="F72" i="2"/>
  <c r="E1411" i="2"/>
  <c r="F1411" i="2" s="1"/>
  <c r="E262" i="2"/>
  <c r="F262" i="2" s="1"/>
  <c r="F251" i="2" s="1"/>
  <c r="F1384" i="2"/>
  <c r="F92" i="2"/>
  <c r="F1293" i="2"/>
  <c r="E887" i="2"/>
  <c r="F887" i="2" s="1"/>
  <c r="F880" i="2"/>
  <c r="E1350" i="2"/>
  <c r="F1350" i="2" s="1"/>
  <c r="F1345" i="2"/>
  <c r="F332" i="2"/>
  <c r="E195" i="2"/>
  <c r="F195" i="2" s="1"/>
  <c r="F190" i="2" s="1"/>
  <c r="E619" i="2"/>
  <c r="F619" i="2" s="1"/>
  <c r="F617" i="2"/>
  <c r="E613" i="2"/>
  <c r="F613" i="2" s="1"/>
  <c r="F611" i="2"/>
  <c r="E48" i="2"/>
  <c r="F48" i="2" s="1"/>
  <c r="F42" i="2" s="1"/>
  <c r="E38" i="2"/>
  <c r="F38" i="2" s="1"/>
  <c r="F32" i="2"/>
  <c r="E18" i="2"/>
  <c r="F18" i="2" s="1"/>
  <c r="F12" i="2"/>
  <c r="E1546" i="2"/>
  <c r="F1546" i="2" s="1"/>
  <c r="F1536" i="2"/>
  <c r="E1608" i="2"/>
  <c r="F1608" i="2" s="1"/>
  <c r="F1600" i="2"/>
  <c r="E911" i="2"/>
  <c r="F911" i="2" s="1"/>
  <c r="F907" i="2"/>
  <c r="E1362" i="2"/>
  <c r="F1362" i="2" s="1"/>
  <c r="F1354" i="2" s="1"/>
  <c r="F266" i="2"/>
  <c r="E655" i="2"/>
  <c r="F655" i="2" s="1"/>
  <c r="F651" i="2"/>
  <c r="F986" i="2"/>
  <c r="F1404" i="2"/>
  <c r="E145" i="2" l="1"/>
  <c r="F145" i="2" s="1"/>
  <c r="F141" i="2" s="1"/>
  <c r="E586" i="2"/>
  <c r="F586" i="2" s="1"/>
  <c r="F582" i="2" s="1"/>
  <c r="E570" i="2"/>
  <c r="F570" i="2" s="1"/>
  <c r="F566" i="2" s="1"/>
  <c r="E578" i="2"/>
  <c r="F578" i="2" s="1"/>
  <c r="F574" i="2" s="1"/>
</calcChain>
</file>

<file path=xl/comments1.xml><?xml version="1.0" encoding="utf-8"?>
<comments xmlns="http://schemas.openxmlformats.org/spreadsheetml/2006/main">
  <authors>
    <author>yherrera</author>
    <author>ravaldiviag</author>
  </authors>
  <commentList>
    <comment ref="B7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B8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B9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B10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B11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D26" authorId="1" shapeId="0">
      <text>
        <r>
          <rPr>
            <b/>
            <sz val="8"/>
            <color indexed="81"/>
            <rFont val="Tahoma"/>
          </rPr>
          <t>ravaldiviag:</t>
        </r>
        <r>
          <rPr>
            <sz val="8"/>
            <color indexed="81"/>
            <rFont val="Tahoma"/>
          </rPr>
          <t xml:space="preserve">
Valor mas elevedo que una arena comun</t>
        </r>
      </text>
    </comment>
    <comment ref="D27" authorId="1" shapeId="0">
      <text>
        <r>
          <rPr>
            <b/>
            <sz val="8"/>
            <color indexed="81"/>
            <rFont val="Tahoma"/>
          </rPr>
          <t>ravaldiviag:</t>
        </r>
        <r>
          <rPr>
            <sz val="8"/>
            <color indexed="81"/>
            <rFont val="Tahoma"/>
          </rPr>
          <t xml:space="preserve">
Valor mas elevedo que una arena comun</t>
        </r>
      </text>
    </comment>
    <comment ref="B39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G39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media sernac</t>
        </r>
      </text>
    </comment>
    <comment ref="D43" authorId="1" shapeId="0">
      <text>
        <r>
          <rPr>
            <b/>
            <sz val="8"/>
            <color indexed="81"/>
            <rFont val="Tahoma"/>
          </rPr>
          <t>ravaldiviag:</t>
        </r>
        <r>
          <rPr>
            <sz val="8"/>
            <color indexed="81"/>
            <rFont val="Tahoma"/>
          </rPr>
          <t xml:space="preserve">
Mantiene valor</t>
        </r>
      </text>
    </comment>
    <comment ref="B44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valor critico</t>
        </r>
      </text>
    </comment>
    <comment ref="G90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media sernac</t>
        </r>
      </text>
    </comment>
    <comment ref="B128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no para muro confinado con espesor desde 15 cm</t>
        </r>
      </text>
    </comment>
    <comment ref="B168" authorId="0" shapeId="0">
      <text>
        <r>
          <rPr>
            <b/>
            <sz val="8"/>
            <color indexed="81"/>
            <rFont val="Tahoma"/>
          </rPr>
          <t>yherrera: montantes cada 40 cm mas refuerzo esquina</t>
        </r>
      </text>
    </comment>
    <comment ref="B300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encuentro soleras</t>
        </r>
      </text>
    </comment>
    <comment ref="B301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panel a montantes</t>
        </r>
      </text>
    </comment>
    <comment ref="B302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entre montantes largo + anclaje esquina conector AN</t>
        </r>
      </text>
    </comment>
    <comment ref="D331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12,5 % AFP+ 7% Salud + seguros</t>
        </r>
      </text>
    </comment>
  </commentList>
</comments>
</file>

<file path=xl/comments2.xml><?xml version="1.0" encoding="utf-8"?>
<comments xmlns="http://schemas.openxmlformats.org/spreadsheetml/2006/main">
  <authors>
    <author>yherrera</author>
  </authors>
  <commentList>
    <comment ref="B163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encuentro soleras</t>
        </r>
      </text>
    </comment>
    <comment ref="B252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superior o inferior</t>
        </r>
      </text>
    </comment>
    <comment ref="B253" authorId="0" shapeId="0">
      <text>
        <r>
          <rPr>
            <b/>
            <sz val="8"/>
            <color indexed="81"/>
            <rFont val="Tahoma"/>
          </rPr>
          <t>yherrera: montantes cada 40 cm mas refuerzo esquina</t>
        </r>
      </text>
    </comment>
    <comment ref="B255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encuentro soleras</t>
        </r>
      </text>
    </comment>
    <comment ref="B256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panel a montantes</t>
        </r>
      </text>
    </comment>
    <comment ref="B257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entre montantes largo + anclaje esquina conector AN</t>
        </r>
      </text>
    </comment>
    <comment ref="B270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encuentro soleras</t>
        </r>
      </text>
    </comment>
    <comment ref="B271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panel a montantes</t>
        </r>
      </text>
    </comment>
    <comment ref="B272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entre montantes largo + anclaje esquina conector AN</t>
        </r>
      </text>
    </comment>
    <comment ref="B285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encuentro soleras</t>
        </r>
      </text>
    </comment>
    <comment ref="B286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panel a montantes</t>
        </r>
      </text>
    </comment>
    <comment ref="B287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entre montantes largo + anclaje esquina conector AN</t>
        </r>
      </text>
    </comment>
    <comment ref="B306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union encuentro soleras</t>
        </r>
      </text>
    </comment>
    <comment ref="D908" authorId="0" shapeId="0">
      <text>
        <r>
          <rPr>
            <b/>
            <sz val="8"/>
            <color indexed="81"/>
            <rFont val="Tahoma"/>
          </rPr>
          <t>yherrera:</t>
        </r>
        <r>
          <rPr>
            <sz val="8"/>
            <color indexed="81"/>
            <rFont val="Tahoma"/>
          </rPr>
          <t xml:space="preserve">
macho y hembra</t>
        </r>
      </text>
    </comment>
  </commentList>
</comments>
</file>

<file path=xl/sharedStrings.xml><?xml version="1.0" encoding="utf-8"?>
<sst xmlns="http://schemas.openxmlformats.org/spreadsheetml/2006/main" count="4019" uniqueCount="682">
  <si>
    <t>Alambre N° 18</t>
  </si>
  <si>
    <t>Jornal</t>
  </si>
  <si>
    <t>Chuzo</t>
  </si>
  <si>
    <t>Picota</t>
  </si>
  <si>
    <t>Estabilizado</t>
  </si>
  <si>
    <t>Placa compactadora</t>
  </si>
  <si>
    <t>m³</t>
  </si>
  <si>
    <t>Retiro escombros</t>
  </si>
  <si>
    <t>Cemento especial</t>
  </si>
  <si>
    <t>Arena gruesa</t>
  </si>
  <si>
    <t>Ayudante</t>
  </si>
  <si>
    <t>%</t>
  </si>
  <si>
    <t>Desmoldante</t>
  </si>
  <si>
    <t>Alambre N° 14</t>
  </si>
  <si>
    <t>Kg</t>
  </si>
  <si>
    <t>DESCRIPCIÓN</t>
  </si>
  <si>
    <t>UNIDAD</t>
  </si>
  <si>
    <t>uni</t>
  </si>
  <si>
    <t>kg</t>
  </si>
  <si>
    <t>saco</t>
  </si>
  <si>
    <t>lt</t>
  </si>
  <si>
    <t>rollo (50 kg)</t>
  </si>
  <si>
    <t>Arena fina</t>
  </si>
  <si>
    <t>Gravilla</t>
  </si>
  <si>
    <t>Diesel</t>
  </si>
  <si>
    <t>Pala punta de huevo, americana</t>
  </si>
  <si>
    <t>Plancha fibrocemento 3.5 mm</t>
  </si>
  <si>
    <t>Plancha fibrocemento 4 mm</t>
  </si>
  <si>
    <t>Plancha fibrocemento 6 mm</t>
  </si>
  <si>
    <t>Plancha yeso cartón 10 mm</t>
  </si>
  <si>
    <t>Plancha yeso cartón 15 mm</t>
  </si>
  <si>
    <t>plancha</t>
  </si>
  <si>
    <t>Bencina 93 oct</t>
  </si>
  <si>
    <t>HD</t>
  </si>
  <si>
    <t>Plancha fibrocemento 5 mm</t>
  </si>
  <si>
    <t>Plancha fibrocemento 8 mm</t>
  </si>
  <si>
    <t>Tornillo yeso cartón</t>
  </si>
  <si>
    <t>Fieltro # 10</t>
  </si>
  <si>
    <t>m²</t>
  </si>
  <si>
    <t>Golilla diamante c/fieltro</t>
  </si>
  <si>
    <t>RENDIMIENTO</t>
  </si>
  <si>
    <t>Arena Lepanto</t>
  </si>
  <si>
    <t xml:space="preserve">uni </t>
  </si>
  <si>
    <t>Cerámica 33 x 33 cm</t>
  </si>
  <si>
    <t>Separadores cerámica</t>
  </si>
  <si>
    <t>WC con estanque</t>
  </si>
  <si>
    <t>Llave para lavamano, económica</t>
  </si>
  <si>
    <t>Llave monomando para lavaplatos</t>
  </si>
  <si>
    <t>Llave monomando para lavamanos</t>
  </si>
  <si>
    <t>Pintura esmale sintético, económica</t>
  </si>
  <si>
    <t>Pintura esmale al agua, económica</t>
  </si>
  <si>
    <t>Pintura anticorrosivo</t>
  </si>
  <si>
    <t>Pintura aceite de linaza</t>
  </si>
  <si>
    <t>Sifón tina</t>
  </si>
  <si>
    <t>Sifón lavamanos</t>
  </si>
  <si>
    <t>Calefont 5 lt</t>
  </si>
  <si>
    <t>Marco puerta, metálico</t>
  </si>
  <si>
    <t>Marco puerta, madera</t>
  </si>
  <si>
    <t>Yeso</t>
  </si>
  <si>
    <t>Pintura hidrófuga, hidrorrepelente exterior</t>
  </si>
  <si>
    <t>Tina esmaltada 70 x 120 cm</t>
  </si>
  <si>
    <t>Tina receptáculo dicha 70 x 70 cm</t>
  </si>
  <si>
    <t>Sifón lavaplatos 1 1/2"</t>
  </si>
  <si>
    <t>Lavamanos con pedestal</t>
  </si>
  <si>
    <t>Llave para lavadero, económica</t>
  </si>
  <si>
    <t>Guardapolvos, cantería chaflan</t>
  </si>
  <si>
    <t>Junquillos 1/4 rodón</t>
  </si>
  <si>
    <t>Vibrador de inmersión</t>
  </si>
  <si>
    <t>Cañería cobre tipo L 1/2"</t>
  </si>
  <si>
    <t>Cañería cobre tipo L 3/4"</t>
  </si>
  <si>
    <t>Cañería cobre tipo L 1"</t>
  </si>
  <si>
    <t>Clavos corrientes 2 1/2"</t>
  </si>
  <si>
    <t>Clavos corrientes 2"</t>
  </si>
  <si>
    <t>Clavos corrientes 3"</t>
  </si>
  <si>
    <t>Clavos corrientes 4"</t>
  </si>
  <si>
    <t>Clavos corrientes 5"</t>
  </si>
  <si>
    <t>Clavos corrientes 6 "</t>
  </si>
  <si>
    <t>Flexit 1,4 mm 33 x 33 cm</t>
  </si>
  <si>
    <t>Llave de paso 1/2"</t>
  </si>
  <si>
    <t>Llave de paso 3/4"</t>
  </si>
  <si>
    <t>Llave monomando para tinas</t>
  </si>
  <si>
    <t>Pintura óleo brillante, económica</t>
  </si>
  <si>
    <t>Pintura óleo opaco, económica</t>
  </si>
  <si>
    <t>Carpintero</t>
  </si>
  <si>
    <t>Alfombra boucle topper</t>
  </si>
  <si>
    <t>Tarugo clavo</t>
  </si>
  <si>
    <t>Punta 2"</t>
  </si>
  <si>
    <t>Lija</t>
  </si>
  <si>
    <t>Pliego</t>
  </si>
  <si>
    <t>Pintor</t>
  </si>
  <si>
    <t>Codo PVC 40 mm.</t>
  </si>
  <si>
    <t>PAVIMENTO FLEXIT 1,4 mm. 1 m²</t>
  </si>
  <si>
    <t>Pintura Latex</t>
  </si>
  <si>
    <t>Leyes sociales</t>
  </si>
  <si>
    <t>Rodillo</t>
  </si>
  <si>
    <t>Albañil</t>
  </si>
  <si>
    <t>Maestro 1ra</t>
  </si>
  <si>
    <t>Maestro 2da</t>
  </si>
  <si>
    <t>Hojalatero</t>
  </si>
  <si>
    <t>Botadero autorizado</t>
  </si>
  <si>
    <t>Codo PVC 50 mm.</t>
  </si>
  <si>
    <t>Codo PVC 75 mm.</t>
  </si>
  <si>
    <t>Codo PVC 110 mm.</t>
  </si>
  <si>
    <t>Puerta placarol 75 x 200 cm.</t>
  </si>
  <si>
    <t>Puerta terciado ambas/c 75 x 200 cm.</t>
  </si>
  <si>
    <t>PVC sanitario 40 mm.</t>
  </si>
  <si>
    <t>PVC sanitario 75 mm.</t>
  </si>
  <si>
    <t>PVC sanitario 50 mm.</t>
  </si>
  <si>
    <t>PVC sanitario 110 mm.</t>
  </si>
  <si>
    <t>Leyes Sociales</t>
  </si>
  <si>
    <t>Flexible 1/2" x 1/2" HE-HI</t>
  </si>
  <si>
    <t>Pérdidas</t>
  </si>
  <si>
    <t>Brocha 5 x 5/8"</t>
  </si>
  <si>
    <t>Caballete Zinc Alum 0,35 mm.</t>
  </si>
  <si>
    <t>Clavos corrientes 11/2"</t>
  </si>
  <si>
    <t>Plancha zinc alum onda standar 0,35 mm</t>
  </si>
  <si>
    <t>Plancha zinc alum onda standar 0,4 mm</t>
  </si>
  <si>
    <t>Plancha zinc alum lisa 0,4 mm</t>
  </si>
  <si>
    <t>0,35 x 851 x 2000 mm</t>
  </si>
  <si>
    <t>0,40 x 1000 x 2000 mm</t>
  </si>
  <si>
    <t>0,40 x 851 x 2000 mm</t>
  </si>
  <si>
    <t>Tornillo galv. 1" x 12</t>
  </si>
  <si>
    <t>Tornillo techo  2 1/2" x 12</t>
  </si>
  <si>
    <t>Terciado estructural 15 mm.</t>
  </si>
  <si>
    <t>Arriendo contenedor</t>
  </si>
  <si>
    <t>LIMPIEZA, ESCARPADO Y DESPEJE DE TERRENO, con máquina</t>
  </si>
  <si>
    <t>Motoniveladora</t>
  </si>
  <si>
    <t>Operador maquinaria</t>
  </si>
  <si>
    <t>INSTALACIÓN DE FAENAS OFICINAS CONTENEDOR</t>
  </si>
  <si>
    <t>LIMPIEZA, ESCARPADO Y DESPEJE DE TERRENO, manual e= 15 cm.</t>
  </si>
  <si>
    <t>RETIRO DE ESCOMBROS</t>
  </si>
  <si>
    <t>MEJORAMIENTO DE SUELO</t>
  </si>
  <si>
    <t>DESARME ESTRUCTURA CUBIERTA</t>
  </si>
  <si>
    <t>CIERRE PERIMETRAL DE SITIOS, MALLA RASCHEL h=2,6 mt.</t>
  </si>
  <si>
    <t>Malla Raschel</t>
  </si>
  <si>
    <t>Alambre Puas</t>
  </si>
  <si>
    <t>Grapa Galv. 1"</t>
  </si>
  <si>
    <t>Excavación terreno</t>
  </si>
  <si>
    <t>Poste impregnado 5"  3,6 mt.</t>
  </si>
  <si>
    <t>Camión tolva o similar</t>
  </si>
  <si>
    <t>Conductor camiones</t>
  </si>
  <si>
    <t>EMPLANTILLADO</t>
  </si>
  <si>
    <t>Grava</t>
  </si>
  <si>
    <t>COLOCACIÓN MALLA ACMA</t>
  </si>
  <si>
    <t>SOBRECIMIENTO CON BLOQUES DE CEMENTO</t>
  </si>
  <si>
    <t>HORMIGON 225 K/Cem/m³ H-10 + 20% B.D.</t>
  </si>
  <si>
    <t>HORMIGON 340 K/Cem/m³ H-25</t>
  </si>
  <si>
    <t xml:space="preserve">HORMIGON 300 K/Cem/m³ H-20  </t>
  </si>
  <si>
    <t>Fieltro 15 Lb</t>
  </si>
  <si>
    <t>Fieltro 15 lb</t>
  </si>
  <si>
    <t>CUBIERTA FIBROCEMENTO ONDA ESTANDAR</t>
  </si>
  <si>
    <t xml:space="preserve">CUBIERTA ZINC ALUM ONDA ESTANDAR  0,4 mm. </t>
  </si>
  <si>
    <t xml:space="preserve">CUBIERTA ZINC ALUM ONDA ESTANDAR  0,35 mm. </t>
  </si>
  <si>
    <t xml:space="preserve">RELLENO INTERIOR ESTABILIZADO COMPACTADO  </t>
  </si>
  <si>
    <t xml:space="preserve">HORMIGON 255 K/Cem/m³ H-15  </t>
  </si>
  <si>
    <t xml:space="preserve">COSTANERAS 2" X 2" </t>
  </si>
  <si>
    <t>CABALLETE FIBROCEMENTO</t>
  </si>
  <si>
    <t>Caballete fibrocemento (hembra-macho)</t>
  </si>
  <si>
    <t>CANALETAS Fe GALV.</t>
  </si>
  <si>
    <t>Tapa canal PVC</t>
  </si>
  <si>
    <t>Unión canal PVC</t>
  </si>
  <si>
    <t>Tornillo roscalata 1 x 8</t>
  </si>
  <si>
    <t>Adhesivo p/PVC pote 250 gr</t>
  </si>
  <si>
    <t>Canal Fe galv. Desarrollo 30 cm.</t>
  </si>
  <si>
    <t>Abrazadera Fe.</t>
  </si>
  <si>
    <t>Tornillo roscalata 11/2 x 10</t>
  </si>
  <si>
    <t>Enfierrador</t>
  </si>
  <si>
    <t>TAPACAN PINO CEPILLADO 1" x 5"</t>
  </si>
  <si>
    <t>TAPACAN PINO CEPILLADO 1" x 4"</t>
  </si>
  <si>
    <t>ENVIGADO DE PISO, PINO 2" X 6"</t>
  </si>
  <si>
    <t>ENVIGADO DE PISO, PINO 2" X 8"</t>
  </si>
  <si>
    <t>Poliestireno expandido 50 mm</t>
  </si>
  <si>
    <t>Poliestireno expandido 100 mm</t>
  </si>
  <si>
    <t>Poliestireno expandido 80 mm</t>
  </si>
  <si>
    <t>Lana mineral 40 mm.</t>
  </si>
  <si>
    <t>Polietileno 0,10 mm</t>
  </si>
  <si>
    <t>Fibrocemento 4 mm.</t>
  </si>
  <si>
    <t>Fibrocemento 3.5 mm.</t>
  </si>
  <si>
    <t>Fibrocemento 6 mm.</t>
  </si>
  <si>
    <t>Fibrocemento 5 mm.</t>
  </si>
  <si>
    <t>Yeso cartón 8 mm.</t>
  </si>
  <si>
    <t>Yeso cartón 10 mm.</t>
  </si>
  <si>
    <t>Yeso cartón 12 mm.</t>
  </si>
  <si>
    <t>Fibrocemento 8 mm.</t>
  </si>
  <si>
    <t>Retroexcavadora</t>
  </si>
  <si>
    <t>Cargador frontal</t>
  </si>
  <si>
    <t>Minicargador</t>
  </si>
  <si>
    <t xml:space="preserve">LISTONEADO CIELO 2" X 2" </t>
  </si>
  <si>
    <t>REVESTIMIENTO MADERA 1/2" X 4"</t>
  </si>
  <si>
    <t>QUEMADO DE MUROS</t>
  </si>
  <si>
    <t>Acido muriático</t>
  </si>
  <si>
    <t>ESTUCO MUROS INTERIORES 1:3  e= 2,5 cm.</t>
  </si>
  <si>
    <t>Aditivo impermeabilizante</t>
  </si>
  <si>
    <t>ENLUCIDO DE YESO</t>
  </si>
  <si>
    <t>Yesero</t>
  </si>
  <si>
    <t>PUERTA (70x200) TIPO PLACAROL CON MARCO DE MADERA</t>
  </si>
  <si>
    <t>PUERTA (75x200) TIPO PLACAROL CON MARCO DE MADERA</t>
  </si>
  <si>
    <t>PUERTA (80x200) TIPO PLACAROL CON MARCO DE MADERA</t>
  </si>
  <si>
    <t>PUERTA (70x200) TIPO PLACAROL CON MARCO METÁLICO</t>
  </si>
  <si>
    <t>PUERTA (75x200) TIPO PLACAROL CON MARCO METÁLICO</t>
  </si>
  <si>
    <t>PUERTA (80x200) TIPO PLACAROL CON MARCO METÁLICO</t>
  </si>
  <si>
    <t>MARCO DE MADERA PINO CEPILLADO</t>
  </si>
  <si>
    <t>MARCO METÁLICO</t>
  </si>
  <si>
    <t>RETIRO DE MARCO Y PUERTA EXISTENTES</t>
  </si>
  <si>
    <t>CERRADURA ACCESO COCINA</t>
  </si>
  <si>
    <t>Puerta placarol 70 x 200 cm.</t>
  </si>
  <si>
    <t>Bisagras 3 1/2" x 3 1/2"</t>
  </si>
  <si>
    <t>Puerta placarol 80 x 200 cm.</t>
  </si>
  <si>
    <t xml:space="preserve">CERRADURA EMBUTIDA PUERTA BAÑO </t>
  </si>
  <si>
    <t xml:space="preserve">CERRADURA EMBUTIDA PUERTA ACCESO </t>
  </si>
  <si>
    <t>Puerta placarol 65 x 200 cm.</t>
  </si>
  <si>
    <t>Recargo desgaste herramientas</t>
  </si>
  <si>
    <t>CERRADURA EMBUTIDA DORMITORIOS</t>
  </si>
  <si>
    <t>Cerradura con picaporte reversible con cerrojo</t>
  </si>
  <si>
    <t>Cerradura emb. Con picaporte reversible y seguro interior</t>
  </si>
  <si>
    <t>Cocina</t>
  </si>
  <si>
    <t>Baño y dormitorios</t>
  </si>
  <si>
    <t>PUERTA (65x200) TIPO PLACAROL CON MARCO DE MADERA</t>
  </si>
  <si>
    <t>PUERTA (65x200) TIPO PLACAROL CON MARCO METÁLICO</t>
  </si>
  <si>
    <t>VIDRIOS</t>
  </si>
  <si>
    <t>Ceramista</t>
  </si>
  <si>
    <t>Estuco</t>
  </si>
  <si>
    <t xml:space="preserve">REPLANTEO </t>
  </si>
  <si>
    <t xml:space="preserve">FIERRO 12 mm. </t>
  </si>
  <si>
    <t xml:space="preserve">FIERRO 10 mm. </t>
  </si>
  <si>
    <t xml:space="preserve">FIERRO 8 mm. </t>
  </si>
  <si>
    <t xml:space="preserve">ESTRUCTURA TABIQUE PINO 2" X 3" </t>
  </si>
  <si>
    <t>Silicona neutra</t>
  </si>
  <si>
    <t>Envase de 310 ml</t>
  </si>
  <si>
    <t>GUARDAPOLVOS 3/4" x 3"</t>
  </si>
  <si>
    <t>GUARDAPOLVOS PISO LAMINADO</t>
  </si>
  <si>
    <t>Guadapolvos piso laminado</t>
  </si>
  <si>
    <t>Pino 3/4" x 3" cepillado</t>
  </si>
  <si>
    <t xml:space="preserve">PINTURA LATEX 2 MANOS </t>
  </si>
  <si>
    <t xml:space="preserve">PINTURA OLEO 2 MANOS </t>
  </si>
  <si>
    <t xml:space="preserve">PINTURA ESMALTE 2 MANOS </t>
  </si>
  <si>
    <t xml:space="preserve">PINTURA ANTICORROSIVA 2 MANOS </t>
  </si>
  <si>
    <t xml:space="preserve">PINTURA BARNIZ MARINO 2 MANOS </t>
  </si>
  <si>
    <t>Aceite linaza</t>
  </si>
  <si>
    <t>1 gal = 3,785 lt.</t>
  </si>
  <si>
    <t>Pieza de 2,4 mt.</t>
  </si>
  <si>
    <t>Media caña MDF</t>
  </si>
  <si>
    <t xml:space="preserve">saco </t>
  </si>
  <si>
    <t>ALFOMBRA CUBREPISO</t>
  </si>
  <si>
    <t>ALFOMBRA TIPO BOUCLE</t>
  </si>
  <si>
    <t>Adhesivo cerámicos AC</t>
  </si>
  <si>
    <t>Frague</t>
  </si>
  <si>
    <t xml:space="preserve">Adhesivo cerámicos </t>
  </si>
  <si>
    <t>Cerámica 30 x 30 cm</t>
  </si>
  <si>
    <t>ENTABLADO DE PISO, PINO MACHIEMBRADO  1" X 4"</t>
  </si>
  <si>
    <t>Piso flotante sistema clik 8 mm.</t>
  </si>
  <si>
    <t>Cubrejuntas</t>
  </si>
  <si>
    <t>Piso flotante sistema clik 6 mm.</t>
  </si>
  <si>
    <t>Espuma para piso flotante</t>
  </si>
  <si>
    <t>Adhesivo flexit</t>
  </si>
  <si>
    <t>Siding PVC blanco</t>
  </si>
  <si>
    <t>Perfil J PVC</t>
  </si>
  <si>
    <t>Perfil comienzo PVC</t>
  </si>
  <si>
    <t>Perfil Término PVC</t>
  </si>
  <si>
    <t>LAVAMANOS</t>
  </si>
  <si>
    <t>WC CON ESTANQUE</t>
  </si>
  <si>
    <t>LAVADERO ECONÓMICO</t>
  </si>
  <si>
    <t xml:space="preserve">LAVAPLATOS 1T, 1S </t>
  </si>
  <si>
    <t>Guaradpolvo MDF revestido melamina</t>
  </si>
  <si>
    <t>TINA ESMALTADA (sin grifería)</t>
  </si>
  <si>
    <t>Celosía</t>
  </si>
  <si>
    <t>Gásfiter</t>
  </si>
  <si>
    <t>Receptáculo ducha  enlozado 70 x 70 cm.</t>
  </si>
  <si>
    <t xml:space="preserve">Tornillo 4" </t>
  </si>
  <si>
    <t>COMBINACIÓN LAVAPLATOS</t>
  </si>
  <si>
    <t>LLAVE LAVADERO</t>
  </si>
  <si>
    <t>LLAVE JARDÍN</t>
  </si>
  <si>
    <t>COMBINACIÓN LAVAMANOS, MONOMANDO</t>
  </si>
  <si>
    <t>COMBINACIÓN TINA</t>
  </si>
  <si>
    <t>Llave combinación para lavaplatos, económica</t>
  </si>
  <si>
    <t>Soldadura 50% estaño</t>
  </si>
  <si>
    <t>Llave angular para jardín 1/2"</t>
  </si>
  <si>
    <t>Se cambió unidad de Hr a día.</t>
  </si>
  <si>
    <t>día</t>
  </si>
  <si>
    <t>mes</t>
  </si>
  <si>
    <t>Pintura barniz marino</t>
  </si>
  <si>
    <t>Bolón desplazador</t>
  </si>
  <si>
    <t>Clavos para volcanita</t>
  </si>
  <si>
    <t>Pino bto. seco 1" x 4"</t>
  </si>
  <si>
    <t>Pino bto. seco 1" x 5"</t>
  </si>
  <si>
    <t>Pino bto. seco 2" x 2"</t>
  </si>
  <si>
    <t>Pino bto. seco 2" x 3"</t>
  </si>
  <si>
    <t>Pino bto. seco 2" x 6"</t>
  </si>
  <si>
    <t>Pino bto. seco 2" x 8"</t>
  </si>
  <si>
    <t>Pino bto. seco 3" x 3"</t>
  </si>
  <si>
    <t>Pino cepillado seco 1" x 4"</t>
  </si>
  <si>
    <t>Pino cepillado seco 1" x 5"</t>
  </si>
  <si>
    <t>Pino cepillado seco 2" x 2"</t>
  </si>
  <si>
    <t>Pino cepillado seco 2" x 3"</t>
  </si>
  <si>
    <t>Pino cepillado seco 2" x 5"</t>
  </si>
  <si>
    <t>Pino cepillado seco 2" x 6"</t>
  </si>
  <si>
    <t>Puerta Pino Oregón 75 x 200 cm.</t>
  </si>
  <si>
    <t>Vidrio 4 mm.</t>
  </si>
  <si>
    <t>Tornillo 2"</t>
  </si>
  <si>
    <t>Ventana aluminio doble hoja 100 x 100 cm.</t>
  </si>
  <si>
    <t>Ventanal aluminio doble hoja 200 x 180 cm.</t>
  </si>
  <si>
    <t>Tarugo 6 mm.</t>
  </si>
  <si>
    <t xml:space="preserve">Pino cepillado  seco 1"x3" </t>
  </si>
  <si>
    <t>Codo bronce 1/2" x 3/8" SO</t>
  </si>
  <si>
    <t>Plancha fibrocemento onda estándar 4 x 910 x 2440 mm</t>
  </si>
  <si>
    <t>tineta</t>
  </si>
  <si>
    <t>Alzaprimas</t>
  </si>
  <si>
    <t>Ladrillo Fiscal 30 x 15 x 6,5 cm.</t>
  </si>
  <si>
    <t>Para canaletas</t>
  </si>
  <si>
    <t>Para bajada de aguas lluvia</t>
  </si>
  <si>
    <t>DESCRIPCIÓN DE PARTIDA</t>
  </si>
  <si>
    <t>Para envigado piso</t>
  </si>
  <si>
    <t>Para forro tabiques cielos y pisos</t>
  </si>
  <si>
    <t>Para puerta de marco metálico</t>
  </si>
  <si>
    <t>Puerta placarol 90 x 200 cm.</t>
  </si>
  <si>
    <t>Para fijación siding</t>
  </si>
  <si>
    <t>Para fijar lavamanos</t>
  </si>
  <si>
    <t>Mueble económico para lavaplatos</t>
  </si>
  <si>
    <t>Para llave lavadero</t>
  </si>
  <si>
    <t>Para llave jardín</t>
  </si>
  <si>
    <t>Brocha 2 1/2 x 5/8"</t>
  </si>
  <si>
    <t>Calefont 7 lt</t>
  </si>
  <si>
    <t>Separadores de moldajes</t>
  </si>
  <si>
    <t>Clavo Hilti SDM 27 1/4</t>
  </si>
  <si>
    <t>Codo bronce 1/2" SO</t>
  </si>
  <si>
    <t>Faldón tina eraclit</t>
  </si>
  <si>
    <t>Cubrepiso</t>
  </si>
  <si>
    <t>Ladrillo Fiscal 28 x 14 x 5 cm.</t>
  </si>
  <si>
    <t>Atril metálico para lavadero</t>
  </si>
  <si>
    <t>Lavadero pileta plástica</t>
  </si>
  <si>
    <t>Malla Acma C 92</t>
  </si>
  <si>
    <t>Perno coche 5/16 x 3" s/tuerca</t>
  </si>
  <si>
    <t>Tuerca 5/16</t>
  </si>
  <si>
    <t>Para forro pisos</t>
  </si>
  <si>
    <t>Pino machiembrado 1" x 5"</t>
  </si>
  <si>
    <t>Remache  4 x 10 para canal</t>
  </si>
  <si>
    <t xml:space="preserve">Tarugo clavo con tornillo </t>
  </si>
  <si>
    <t>Tee bronce 1/2" SO SO HI</t>
  </si>
  <si>
    <t>Tornillo 7 x 2 1/2 roscalata</t>
  </si>
  <si>
    <t>Para perno coche</t>
  </si>
  <si>
    <t>Ventana 46 x 55 cm con celosía</t>
  </si>
  <si>
    <t>Ventana 50 x 91 cm.</t>
  </si>
  <si>
    <t>Marco ventana madera 2 hojas 100 x 100</t>
  </si>
  <si>
    <t>CENTRO DE LUZ 9/12 EMBUTIDO</t>
  </si>
  <si>
    <t>Interruptor 9/12</t>
  </si>
  <si>
    <t>Fittings</t>
  </si>
  <si>
    <t>Adhesivo de contacto</t>
  </si>
  <si>
    <t>Para alfombras</t>
  </si>
  <si>
    <t>BARRERA DE VAPOR POLIETILENO 0,10 mm.</t>
  </si>
  <si>
    <t>CAÑERIA DE COBRE 1/2"</t>
  </si>
  <si>
    <t>Pasta para soldar</t>
  </si>
  <si>
    <t>Maestro electricista</t>
  </si>
  <si>
    <t>Alambre NYA 1,5 mm</t>
  </si>
  <si>
    <t>Conduit 16 mm.</t>
  </si>
  <si>
    <t>Tubería PVC hidráulico 20 mm.</t>
  </si>
  <si>
    <t>Electricista</t>
  </si>
  <si>
    <t>AFINADO DE PISO e = 2 cm.</t>
  </si>
  <si>
    <t>COSTANERAS VULCOMETAL PERFIL W</t>
  </si>
  <si>
    <t xml:space="preserve">ESTRUCTURA TABIQUE PINO 2" X 2" </t>
  </si>
  <si>
    <t>FRONTÓN FIBROCEMENTO 4 mm.</t>
  </si>
  <si>
    <t xml:space="preserve">FRONTÓN MADERA 1" x 4" </t>
  </si>
  <si>
    <t>HORMIGON 300 K/Cem/m³ H-20 CON ADITIVO IMPERMEABILIZANTE</t>
  </si>
  <si>
    <t>HORMIGON 340 K/Cem/m³ H-25 CON ADITIVO IMPERMEABILIZANTE</t>
  </si>
  <si>
    <t>LAMINA DE POLIETILENO 0,05 mm.</t>
  </si>
  <si>
    <t>LAMINA DE POLIETILENO 0,10 mm.</t>
  </si>
  <si>
    <t>Polietileno 0,05 mm</t>
  </si>
  <si>
    <t>MANO DE OBRA POR ESPECIALIDAD</t>
  </si>
  <si>
    <t>LLAVE DE PASO 1/2"</t>
  </si>
  <si>
    <t>LLAVE DE PASO 3/4"</t>
  </si>
  <si>
    <t xml:space="preserve">MOLDAJE DE MADERA PARA PILARES (3 USOS) </t>
  </si>
  <si>
    <t xml:space="preserve">MOLDAJE DE MADERA PARA VIGAS Y CADENAS (3 USOS) </t>
  </si>
  <si>
    <t xml:space="preserve">MOLDAJE DE MADERA PARA SOBRECIMIENTO (3 USOS) </t>
  </si>
  <si>
    <t>Discapacitados</t>
  </si>
  <si>
    <t>REVESTIMIENTO YESO CARTÓN 8 mm.</t>
  </si>
  <si>
    <t>REVESTIMIENTO YESO CARTÓN 10 mm.</t>
  </si>
  <si>
    <t>REVESTIMIENTO YESO CARTÓN 12 mm.</t>
  </si>
  <si>
    <t>Pino machihembrado 1/2" x 4"</t>
  </si>
  <si>
    <t>TUBERÍA PVC 110 mm. DESCARGA RAMAL BAJO TIERRA</t>
  </si>
  <si>
    <t>TUBERÍA PVC HIDRÁULICO 20 mm.</t>
  </si>
  <si>
    <t>VENTANA DE ALUMINIO CON CELOSÍA 50 x 50 cm (para baño o cocina)</t>
  </si>
  <si>
    <t>VENTANA DE ALUMINIO CON CELOSÍA 50 x 80 cm (para baño o cocina)</t>
  </si>
  <si>
    <t>Ladrillo Titán 30 x 14 x 7,1 cm.</t>
  </si>
  <si>
    <t>CABALLETE GALVANIZADO 30 cm. DESARROLLO</t>
  </si>
  <si>
    <t>Pino machihembrado 3/4" x 4"</t>
  </si>
  <si>
    <t>RETIRO DE CUBIERTA EXISTENTE</t>
  </si>
  <si>
    <t>RETIRO DE VENTANA EXISTENTE</t>
  </si>
  <si>
    <t>REVESTIMIENTO FIBROCEMENTO 3,5 mm.</t>
  </si>
  <si>
    <t>REVESTIMIENTO FIBROCEMENTO 4 mm.</t>
  </si>
  <si>
    <t>REVESTIMIENTO FIBROCEMENTO 5 mm.</t>
  </si>
  <si>
    <t>REVESTIMIENTO FIBROCEMENTO 6 mm.</t>
  </si>
  <si>
    <t>REVESTIMIENTO FIBROCEMENTO 8 mm.</t>
  </si>
  <si>
    <t xml:space="preserve">REVESTIMIENTO MADERA 1/2" X 4" PARA CIELOS </t>
  </si>
  <si>
    <t xml:space="preserve">REVESTIMIENTO FIBROCEMENTO 4 mm. PARA ALEROS </t>
  </si>
  <si>
    <t>VENTANA ALUMINIO 100 X 100 cm.</t>
  </si>
  <si>
    <t>CIERRE PERIMETRAL METÁLICO, REJA H = 1,5 mt</t>
  </si>
  <si>
    <t>Perfil Rectangular metálico 60 x 40 x 2 mm.</t>
  </si>
  <si>
    <t>tira</t>
  </si>
  <si>
    <t>Perfil Rectangular metálico 20 x 40 x 2 mm.</t>
  </si>
  <si>
    <t>Perfil Rectangular metálico 30 x 20 x 2 mm.</t>
  </si>
  <si>
    <t>Cerrajero</t>
  </si>
  <si>
    <t>REVESTIMIENTO SIDING FIBROCEMENTO</t>
  </si>
  <si>
    <t>Siding fibrocemento</t>
  </si>
  <si>
    <t>REVESTIMIENTO SIDING PVC</t>
  </si>
  <si>
    <t>Se vende por unidad de 2,4 ml.</t>
  </si>
  <si>
    <t>EXCAVACION FUNDACIONES  MANUAL</t>
  </si>
  <si>
    <t>Llave gas con tuerca</t>
  </si>
  <si>
    <t>RADIER</t>
  </si>
  <si>
    <t>Aditivo endurecedor superficial</t>
  </si>
  <si>
    <t>Cama de ripio compactada e=7 cm.</t>
  </si>
  <si>
    <t>Pino cepillado seco 4" x 4"</t>
  </si>
  <si>
    <t xml:space="preserve">PILAR DE MADERA 4" X 4" PINO </t>
  </si>
  <si>
    <t>Perfil Cuadrado metálico 100 x 100 x 3 mm.</t>
  </si>
  <si>
    <t>Arriendo mensual.</t>
  </si>
  <si>
    <t>Perfil Cuadrado metálico 75 x 75 x 3 mm.</t>
  </si>
  <si>
    <t>RECEPTÁCULO DUCHA ENLOZADO</t>
  </si>
  <si>
    <t>RETIRO DE REVESTIMIENTO DE PISO EXISTENTE</t>
  </si>
  <si>
    <t>RETIRO DE ESTRUCTURAS DE MADERA</t>
  </si>
  <si>
    <t>MEJORAMIENTO DE SUPERFICIE PARA PAVIMENTO (REVESTIMIENTO)</t>
  </si>
  <si>
    <t>Estuco nivelador</t>
  </si>
  <si>
    <t>Base cama de ripio</t>
  </si>
  <si>
    <t>Moetero de pega</t>
  </si>
  <si>
    <t>Pastelón 50 x 50 x 4 cm gris</t>
  </si>
  <si>
    <t>Excavación</t>
  </si>
  <si>
    <t>Hormigón H-20 con aditivo imp.</t>
  </si>
  <si>
    <t>POYO DE HORMIGÓN 40 X 40 X 60 cm.</t>
  </si>
  <si>
    <t>POLIESTIRENO EXPANDIDO 100 mm.</t>
  </si>
  <si>
    <t xml:space="preserve">POLIESTIRENO EXPANDIDO 80 mm. </t>
  </si>
  <si>
    <t xml:space="preserve">POLIESTIRENO EXPANDIDO 50 mm. </t>
  </si>
  <si>
    <t>PISO FLOTANTE 8 mm. SISTEMA CLICK</t>
  </si>
  <si>
    <t>PISO FLOTANTE 6 mm. SISTEMA CLICK</t>
  </si>
  <si>
    <t>PAVIMENTO PASTELONES 50 X 50 cm.</t>
  </si>
  <si>
    <t>LANA MINERAL 40 mm.</t>
  </si>
  <si>
    <t>LANA MINERAL 80 mm.</t>
  </si>
  <si>
    <t>LANA MINERAL 120 mm.</t>
  </si>
  <si>
    <t>FIELTRO 15 Lb.</t>
  </si>
  <si>
    <t>FIELTRO # 10.</t>
  </si>
  <si>
    <t>CANALETAS PVC.</t>
  </si>
  <si>
    <t>CAMA DE RIPIO COMPACTADA e = 10 cm.</t>
  </si>
  <si>
    <t>CAMA DE RIPIO COMPACTADA e = 8 cm.</t>
  </si>
  <si>
    <t>CALEFONT 5 lt.</t>
  </si>
  <si>
    <t>BAJADA AGUA LLUVIA  PVC.</t>
  </si>
  <si>
    <t>BAJADA AGUA LLUVIA  Fe. GALV.</t>
  </si>
  <si>
    <t>Imprimante asfáltico</t>
  </si>
  <si>
    <t>Tineta 16 lt.</t>
  </si>
  <si>
    <t>PANEL DE POLIESTIRENO EXPANDIDO ENTRE MALLAS DE ACERO (Estructural)</t>
  </si>
  <si>
    <t>PANEL DE POLIESTIRENO EXPANDIDO ENTRE MALLAS DE ACERO (Divisorio-Estructural)</t>
  </si>
  <si>
    <t>PANEL DE POLIESTIRENO EXPANDIDO ENTRE MALLAS DE ACERO (Tabiquería-Divisorio)</t>
  </si>
  <si>
    <t>Malla de unión</t>
  </si>
  <si>
    <t>Malla esquinera</t>
  </si>
  <si>
    <t>Fibra de polipropileno</t>
  </si>
  <si>
    <t>Grapa amarre</t>
  </si>
  <si>
    <t>caja</t>
  </si>
  <si>
    <t>Escalerilla 4,6 cm.</t>
  </si>
  <si>
    <t>Escalerilla 7,6 cm.</t>
  </si>
  <si>
    <t>Largo 2,4 mt.</t>
  </si>
  <si>
    <t>Panel poliestireno entre mallas de acero e = 7,6 cm.</t>
  </si>
  <si>
    <t>Panel poliestireno entre mallas de acero e = 4,6 cm.</t>
  </si>
  <si>
    <t>Largo 2,45 mt.</t>
  </si>
  <si>
    <t>1,22 x 2,44 mt.</t>
  </si>
  <si>
    <t>Panel poliestireno entre mallas de acero e = 7,6 cm. Estructural</t>
  </si>
  <si>
    <t>COSTO UNIT UF</t>
  </si>
  <si>
    <t>Incluye ducha tipo teléfono</t>
  </si>
  <si>
    <t>Bolsa 100 gr.</t>
  </si>
  <si>
    <t>Teflón</t>
  </si>
  <si>
    <t>Pieza de 3 mt. 20 mm espesor.</t>
  </si>
  <si>
    <t>Pino Finger 1/4 Rodón 3/4"</t>
  </si>
  <si>
    <t>1490 por 5 lt.</t>
  </si>
  <si>
    <t>1 metro lineal, despunte se pierde.</t>
  </si>
  <si>
    <t>Para elementos de fibrocemento.</t>
  </si>
  <si>
    <t>Cierre perimetral.</t>
  </si>
  <si>
    <t>9" x 11'' Para madera, muro, masilla y pinturas.</t>
  </si>
  <si>
    <t>Pino Tabla mach. 1" x 4"</t>
  </si>
  <si>
    <t>ESTUCO MUROS EXTERIORES 1:3 + ADITIVO IMPERMEABILIZANTE e = 2,5 cm.</t>
  </si>
  <si>
    <t>EXCAVACION FUNDACIONES CON MÁQUINA</t>
  </si>
  <si>
    <t>HORMIGON 225 K/Cem/m³ H-10 + ADITIVO IMPERMEABILIZANTE</t>
  </si>
  <si>
    <t>HORMIGON 255 K/Cem/m³ H-15 + ADITIVO IMPERMEABILIZANTE</t>
  </si>
  <si>
    <t>HORMIGON 255 K/Cem/m³ H-15 + 20% B.D.</t>
  </si>
  <si>
    <t>PINTURA IMPERMEABILIZACION FACHADAS DE ALBAÑILERÍA</t>
  </si>
  <si>
    <t>PINTURA IMPERMEABILIZACION RECINTOS HÚMEDOS</t>
  </si>
  <si>
    <t>PINTURA IMPRIMACIÓN ACEITE LINAZA</t>
  </si>
  <si>
    <t xml:space="preserve">LAVAPLATOS 2T, 1S </t>
  </si>
  <si>
    <t>Lavaplatos 1T 1S</t>
  </si>
  <si>
    <t>Lavaplatos 2T 1S</t>
  </si>
  <si>
    <t>Sifón lavaplatos 1 1/2" dos cubetas</t>
  </si>
  <si>
    <t xml:space="preserve">LETRERO INDICATIVO DE OBRA </t>
  </si>
  <si>
    <t>Incluye bastidor</t>
  </si>
  <si>
    <t>Perfil Rectangular metálico 50 x 50 x 3 mm.</t>
  </si>
  <si>
    <t>Pintura anticorrosiva</t>
  </si>
  <si>
    <t>Llaves de paso</t>
  </si>
  <si>
    <t>Tee bronce 3/4" SO SO HI</t>
  </si>
  <si>
    <t xml:space="preserve">CIERRES DE PLACA HORMIGÓN VIBRADO 1,80 mt de altura </t>
  </si>
  <si>
    <t>Placa pandereta 2,0 x 0,6 mt.</t>
  </si>
  <si>
    <t>Poste hormigón vibrado</t>
  </si>
  <si>
    <t>2,3 x 0,14 x 0,11 mt.</t>
  </si>
  <si>
    <t>200 x 60 cm.</t>
  </si>
  <si>
    <t>Poyo hormigón 40 x 40 x 60 cm.</t>
  </si>
  <si>
    <t>ALBAÑILERÍA LADRILLO FISCAL PANDERETA</t>
  </si>
  <si>
    <t>PILAR METÁLICO 100 X 100 X 3 mm.</t>
  </si>
  <si>
    <t>PILAR METÁLICO 75 X 75 X 3 mm.</t>
  </si>
  <si>
    <t>Mascarilla</t>
  </si>
  <si>
    <t>Guante de látex</t>
  </si>
  <si>
    <t xml:space="preserve">Hormigón H-15 </t>
  </si>
  <si>
    <t>Desagüe</t>
  </si>
  <si>
    <t>REVESTIMIENTO YESO CARTÓN 15 mm.</t>
  </si>
  <si>
    <t>Yeso cartón 15 mm.</t>
  </si>
  <si>
    <t>Arriendo mensual, con instalación.</t>
  </si>
  <si>
    <t>CENTRO DE ENERGÍA ELÉCTRICA, ENCHUFE HEMBRA EMBUTIDO</t>
  </si>
  <si>
    <t>Enchufe hembra 2 tomas con tierra</t>
  </si>
  <si>
    <t>CENTRO DE DISTRIBUCIÓN ELÉCTRICA, 2 CIRCUITOS</t>
  </si>
  <si>
    <t>Diferencial</t>
  </si>
  <si>
    <t>Tablero eléctrico con caja embutida</t>
  </si>
  <si>
    <t>ALEROS 50 CM DE MADERA 1/2" x 4"</t>
  </si>
  <si>
    <t>Tineta 18 lt.</t>
  </si>
  <si>
    <t>Saco 30 kg.</t>
  </si>
  <si>
    <t>Caja 3.000 unid.</t>
  </si>
  <si>
    <t>global</t>
  </si>
  <si>
    <t>OBSERVACIONES REGIONALES</t>
  </si>
  <si>
    <t>TOTAL UF</t>
  </si>
  <si>
    <t>N°</t>
  </si>
  <si>
    <t>MOLDAJE DE MADERA PARA LOSA (3 USOS)</t>
  </si>
  <si>
    <t>Electrodo</t>
  </si>
  <si>
    <t>Llave angular wc con flexible 1/2" x 7/8 HI HI 30 cm.</t>
  </si>
  <si>
    <t>$</t>
  </si>
  <si>
    <t>UF</t>
  </si>
  <si>
    <t>Escalerilla de largo 5 mt.</t>
  </si>
  <si>
    <t>Bloque de cemento liso gris 40 x 20 x 15 cm</t>
  </si>
  <si>
    <t>ALBAÑILERÍA ARMADA BLOQUES DE CEMENTO 40x20x15</t>
  </si>
  <si>
    <t>Escalerillas ACMA  diametro 4,2 mm</t>
  </si>
  <si>
    <t>ALBAÑILERÍA ARMADA LADRILLO SANTIAGO  7E O TITAN 29x14x7,1</t>
  </si>
  <si>
    <t>ALBAÑILERÍA ARMADA LADRILLO SANTIAGO 9E O EXTRA TITAN 29x14x9,4</t>
  </si>
  <si>
    <t>ALBAÑILERÍA ARMADA LADRILLO SANTIAGO 11E O GRAN TITAN 29x14x11,3</t>
  </si>
  <si>
    <t>Ladrillo SantiagoTE 7 32x15,4x7,1</t>
  </si>
  <si>
    <t>Ladrillo SantiagoTE 9 32x15,4x9,4</t>
  </si>
  <si>
    <t>ALBAÑILERÍA ARMADA MEDIANERO SANTIAGOTE 7E</t>
  </si>
  <si>
    <t>ALBAÑILERÍA ARMADA MEDIANERO SANTIAGOTE 9E</t>
  </si>
  <si>
    <t>ALBAÑILERÍA ARMADA MEDIANERO SANTIAGOTE 11E</t>
  </si>
  <si>
    <t>Ladrillo SantiagoTE 11 32x15,4x11,3</t>
  </si>
  <si>
    <t>unidad</t>
  </si>
  <si>
    <t>h</t>
  </si>
  <si>
    <t>2 ml</t>
  </si>
  <si>
    <t>4 ml</t>
  </si>
  <si>
    <t>Canal PVC 125</t>
  </si>
  <si>
    <t>Soporte PVC para Canaleta 125 mm</t>
  </si>
  <si>
    <t>Unión canal galvanizado</t>
  </si>
  <si>
    <t>Bajada PVC</t>
  </si>
  <si>
    <t>3 ml</t>
  </si>
  <si>
    <t>Codo PVC Perfil 25</t>
  </si>
  <si>
    <t>Abrazadera tubo PVC</t>
  </si>
  <si>
    <t>Tuberia bajada PVC Perfil 25</t>
  </si>
  <si>
    <t xml:space="preserve">Bajada Fe Galvanizado </t>
  </si>
  <si>
    <t>Tuberia bajada Fe Galvanizado</t>
  </si>
  <si>
    <t>Caballete galvanizado 0,35 x 300</t>
  </si>
  <si>
    <t>0,98 ml</t>
  </si>
  <si>
    <t>Soporte Fe Galvanizado</t>
  </si>
  <si>
    <t>Termo electrico 100 l</t>
  </si>
  <si>
    <t>CALEFONT 7 lt.</t>
  </si>
  <si>
    <t>Valvula de seguridad</t>
  </si>
  <si>
    <t>Valvula antirretorno</t>
  </si>
  <si>
    <t>Valvula de cierre</t>
  </si>
  <si>
    <t>Manguitos electroliticos</t>
  </si>
  <si>
    <t>Termo electrico 150 l</t>
  </si>
  <si>
    <t>Precios 2011</t>
  </si>
  <si>
    <t xml:space="preserve">FIERRO 6 mm. </t>
  </si>
  <si>
    <t>Acero 10 mm estriado A63-42H</t>
  </si>
  <si>
    <t>Acero 12 mm estriado A63-42H</t>
  </si>
  <si>
    <t>Acero 8 mm estriado A63-42H</t>
  </si>
  <si>
    <t>Acero 6 mm liso A44-28H</t>
  </si>
  <si>
    <t>Acero refuerzo 12 mm estriado A44-28H</t>
  </si>
  <si>
    <t>m</t>
  </si>
  <si>
    <t>Placa 5x70x70</t>
  </si>
  <si>
    <t>Perfil L50x50x230</t>
  </si>
  <si>
    <t>ESTRUCTURA TECHUMBRE PEND. 40%, CERCHAS A 90 cm. PERFIL GALVANIZADO</t>
  </si>
  <si>
    <t>ESTRUCTURA TECHUMBRE PEND. 40%, CERCHAS A 90 cm. MADERA</t>
  </si>
  <si>
    <t>Ducha teléfono con monomando</t>
  </si>
  <si>
    <t>Costanera Omega 0,85</t>
  </si>
  <si>
    <t>Tornillo autoperforante #10 x 3/4"</t>
  </si>
  <si>
    <t>ENFIERRADURA DE PILAR ACMA 15/15 9,2 mm</t>
  </si>
  <si>
    <t>ENFIERRADURA DE PILAR ACMA 15/20 9,2 mm</t>
  </si>
  <si>
    <t>Armadura Pilar ACMA 15/20 9,2 mm</t>
  </si>
  <si>
    <t>Armadura Pilar ACMA 15/15 9,2 mm</t>
  </si>
  <si>
    <t>Armadura Cadena ACMA 15/20 9,2 mm</t>
  </si>
  <si>
    <t>4,5 ml</t>
  </si>
  <si>
    <t>Armadura Cadena ACMA 15/25 9,2 mm</t>
  </si>
  <si>
    <t>Armadura Cadena ACMA 15/30 9,2 mm</t>
  </si>
  <si>
    <t>Armadura Pilar ACMA 15/30 9,2 mm</t>
  </si>
  <si>
    <t>3,4 ml</t>
  </si>
  <si>
    <t>ENFIERRADURA DE PILAR ACMA 15/30 9,2 mm</t>
  </si>
  <si>
    <t>ENFIERRADURA DE VIGA Y CADENA ACMA 15/20 9,2 mm</t>
  </si>
  <si>
    <t>ENFIERRADURA DE VIGA Y CADENA ACMA 15/25 9,2 mm</t>
  </si>
  <si>
    <t>ENFIERRADURA DE VIGA Y CADENA ACMA 15/30 9,2 mm</t>
  </si>
  <si>
    <t>Para  costaneras 3 ml.</t>
  </si>
  <si>
    <t>TERMO ELECTRICO 100 L</t>
  </si>
  <si>
    <t>TERMO ELECTRICO 150 L</t>
  </si>
  <si>
    <t>Cerámica 20 x 30 cm</t>
  </si>
  <si>
    <t>CERÁMICA MUROS 20 x 30</t>
  </si>
  <si>
    <t>galon</t>
  </si>
  <si>
    <t>Saco de 25 kg. 5 kg/m2</t>
  </si>
  <si>
    <t>Tineta 15 kg. 2,4 m2/kg</t>
  </si>
  <si>
    <t>Ventanal techo 45x75 Termopanel</t>
  </si>
  <si>
    <t>Ventana termopanel 100x100</t>
  </si>
  <si>
    <t>VENTANA TECHO  45 x 75 cm TERMOPANEL</t>
  </si>
  <si>
    <t>VENTANA TERMOPANEL 100 X 100 cm</t>
  </si>
  <si>
    <t>VENTANA DE ALUMINIO 200 X 180 cm.</t>
  </si>
  <si>
    <t>TAPACAN PINO CEPILLADO 1" x 6"</t>
  </si>
  <si>
    <t>Pino cepillado seco 1" x 6"</t>
  </si>
  <si>
    <t>TERCIADO RANURADO 7 MM</t>
  </si>
  <si>
    <t>Terciado Ranurado 2440 x 1220 x 7 mm.</t>
  </si>
  <si>
    <t>TERCIADO RANURADO 9 MM</t>
  </si>
  <si>
    <t>Terciado Ranurado 2440 x 1220 x 9 mm.</t>
  </si>
  <si>
    <t>TERCIADO RANURADO 12 MM</t>
  </si>
  <si>
    <t>Terciado Ranurado 2440 x 1220 x 12 mm.</t>
  </si>
  <si>
    <t>CAÑERIA DE COBRE 3/4"</t>
  </si>
  <si>
    <t>CAÑERIA DE COBRE 1"</t>
  </si>
  <si>
    <t>OSB estructural 2440 x 1220 x 9,5 mm.</t>
  </si>
  <si>
    <t>OSB estructural 2440 x 1220 x 11,1 mm.</t>
  </si>
  <si>
    <t>OSB estructural 2440 x 1220 x 15,1 mm.</t>
  </si>
  <si>
    <t>PUERTA (90 x 200) TIPO PLACAROL DISCAPACITADOS CON MARCO MADERA</t>
  </si>
  <si>
    <t>PUERTA (90 x 200) TIPO PLACAROL DISCAPACITADOS CON MARCO METALICO</t>
  </si>
  <si>
    <t>Tornillo 8x1/2 cabeza lenteja</t>
  </si>
  <si>
    <t>Tornillo 8x1 cabeza trompeta</t>
  </si>
  <si>
    <t>ESTRUCTURA DE PERFILES GALVANIZADOS SERIE 90 0,85mm</t>
  </si>
  <si>
    <t>ESTRUCTURA DE PERFILES GALVANIZADOS SERIE 60 0,85 mm</t>
  </si>
  <si>
    <t>ESTRUCTURA DE PERFILES GALVANIZADOS SERIE 90 1,0mm</t>
  </si>
  <si>
    <t>PLACA OSB ESTRUCTURAL DE PINO 9,5 MM PARA ENTRAMADO DE MADERA</t>
  </si>
  <si>
    <t>PLACA OSB ESTRUCTURAL DE PINO 11,1 MM PARA ENTRAMADO DE MADERA</t>
  </si>
  <si>
    <t>PLACA OSB ESTRUCTURAL DE PINO 15,1 MM PARA ENTRAMADO DE MADERA</t>
  </si>
  <si>
    <t>PLACA OSB ESTRUCTURAL DE PINO 9,5 MM PARA PERFILES GALVANIZADOS</t>
  </si>
  <si>
    <t>PLACA OSB ESTRUCTURAL DE PINO 11,1 MM PARA PERFILES GALVANIZADOS</t>
  </si>
  <si>
    <t>PLACA OSB ESTRUCTURAL DE PINO 15,1 MM PARA PERFILES GALVANIZADOS</t>
  </si>
  <si>
    <t>Ladrillo Fiscal Pandereta 38 x 19 x 5 cm.</t>
  </si>
  <si>
    <t>Ladrillo Santiago 9E o Extra Titan 29x14x9,4</t>
  </si>
  <si>
    <t>Ladrillo Santiago 7E o Titan 29x14x7,1</t>
  </si>
  <si>
    <t>Ladrillo Santiago 11E o Gran Titan 29x14x11,3</t>
  </si>
  <si>
    <t>Perfil solera  U2x3x0,85</t>
  </si>
  <si>
    <t>Perfil montante serie 60 C2x3x0,85</t>
  </si>
  <si>
    <t>Perfil esquinero 30 x 30 x 0,4</t>
  </si>
  <si>
    <t>Perfil solera  U2x4x0,85</t>
  </si>
  <si>
    <t>Perfil montante serie 90 C2x4x0,85</t>
  </si>
  <si>
    <t>Perfil solera  U2x4x1,0</t>
  </si>
  <si>
    <t>Perfil montante serie 90 C2x4x1,0</t>
  </si>
  <si>
    <t>Perfil Esquinero</t>
  </si>
  <si>
    <t>42,5 kg</t>
  </si>
  <si>
    <t>Estuco exterior</t>
  </si>
  <si>
    <t>ESTUCO MUROS EXTERIORES PREFABRICADO e= 2,5 cm</t>
  </si>
  <si>
    <t>ESTUCO MUROS INTERIORES PREFABRICADO e= 2,5 cm.</t>
  </si>
  <si>
    <t>Estuco interior</t>
  </si>
  <si>
    <t>Fulminante calibre 22</t>
  </si>
  <si>
    <t>Cerradura acceso</t>
  </si>
  <si>
    <t>saco 45 kg</t>
  </si>
  <si>
    <t>Flete contenedor</t>
  </si>
  <si>
    <t>hr</t>
  </si>
  <si>
    <t xml:space="preserve">PRECIO SIN IVA (UF) </t>
  </si>
  <si>
    <t>PRECIO SIN IVA ($)</t>
  </si>
  <si>
    <t>VALOR DIA (UF)</t>
  </si>
  <si>
    <t>OBSERVACIONES MATERIALES</t>
  </si>
  <si>
    <t>VALOR UF 7-01-2011</t>
  </si>
  <si>
    <t>Bloque de cemento liso gris  40 x 20 x 20 cm</t>
  </si>
  <si>
    <t>Letrero indicativo 2 x 3 mt.</t>
  </si>
  <si>
    <t>Bajada de aguas lluvia y fijar lavamanos</t>
  </si>
  <si>
    <t>Marco puerta placarol y marco ventana</t>
  </si>
  <si>
    <t>rendimiento</t>
  </si>
  <si>
    <t>RENDIMIENTO HD</t>
  </si>
  <si>
    <t>ALBAÑILERÍA ARMADA BLOQUES DE CEMENTO 40x20x20</t>
  </si>
  <si>
    <t xml:space="preserve">ALBAÑILERÍA CONFINADA LADRILLO FISCAL </t>
  </si>
  <si>
    <t>VALOR MENSUAL (UF)</t>
  </si>
  <si>
    <t>VALOR  MENSUAL ($)</t>
  </si>
  <si>
    <t>PUERTA PINO OREGÓN (ACCESO) CON MARCO METALICO</t>
  </si>
  <si>
    <t>PUERTA PINO OREGÓN (ACCESO) CON MARCO MADERA</t>
  </si>
  <si>
    <t>OBRA GRUESA</t>
  </si>
  <si>
    <t>TERMINACIONES</t>
  </si>
  <si>
    <t>INSTALACIONES</t>
  </si>
  <si>
    <t>A</t>
  </si>
  <si>
    <t>B</t>
  </si>
  <si>
    <t>C</t>
  </si>
  <si>
    <t>MOLDURA 1/4 RODÓN</t>
  </si>
  <si>
    <t>MOLDURA MEDIA CAÑA</t>
  </si>
  <si>
    <t>CERÁMICA PISO 30 X 30 cm.</t>
  </si>
  <si>
    <t>CERÁMICA  PISO 33 X 33 cm.</t>
  </si>
  <si>
    <t>TABLA DE PRECIOS UNITARIOS PPPF 2011 DITEC-MINVU</t>
  </si>
  <si>
    <t>10 uni</t>
  </si>
  <si>
    <t>Bolsa 100 uni</t>
  </si>
  <si>
    <t>Valor Promedio de la Region para este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</si>
</sst>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1" formatCode="_-* #,##0.00_-;\-* #,##0.00_-;_-* &quot;-&quot;??_-;_-@_-"/>
    <numFmt numFmtId="180" formatCode="#,##0;[Red]#,##0"/>
    <numFmt numFmtId="181" formatCode="0.000"/>
    <numFmt numFmtId="190" formatCode="#,##0.0"/>
    <numFmt numFmtId="194" formatCode="#,##0.000"/>
    <numFmt numFmtId="195" formatCode="#,##0.0000"/>
    <numFmt numFmtId="201" formatCode="#,##0.000;[Red]#,##0.000"/>
    <numFmt numFmtId="202" formatCode="#,##0.0000;[Red]#,##0.0000"/>
    <numFmt numFmtId="203" formatCode="_-* #,##0_-;\-* #,##0_-;_-* &quot;-&quot;??_-;_-@_-"/>
  </numFmts>
  <fonts count="2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name val="Arial"/>
    </font>
    <font>
      <sz val="10"/>
      <name val="Arial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</font>
    <font>
      <sz val="10"/>
      <color indexed="14"/>
      <name val="Arial"/>
      <family val="2"/>
    </font>
    <font>
      <sz val="10"/>
      <color indexed="14"/>
      <name val="Arial"/>
    </font>
    <font>
      <b/>
      <sz val="10"/>
      <color indexed="14"/>
      <name val="Arial"/>
      <family val="2"/>
    </font>
    <font>
      <b/>
      <sz val="8"/>
      <color indexed="81"/>
      <name val="Tahoma"/>
    </font>
    <font>
      <sz val="8"/>
      <color indexed="81"/>
      <name val="Tahoma"/>
    </font>
    <font>
      <sz val="10"/>
      <color indexed="48"/>
      <name val="Arial"/>
      <family val="2"/>
    </font>
    <font>
      <b/>
      <sz val="10"/>
      <color indexed="23"/>
      <name val="Arial"/>
    </font>
    <font>
      <sz val="10"/>
      <name val="Arial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0" xfId="0" applyBorder="1"/>
    <xf numFmtId="0" fontId="1" fillId="0" borderId="0" xfId="0" applyFo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180" fontId="7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2" fontId="3" fillId="0" borderId="0" xfId="2" applyNumberFormat="1" applyFont="1" applyFill="1" applyBorder="1" applyAlignment="1" applyProtection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180" fontId="6" fillId="0" borderId="0" xfId="0" applyNumberFormat="1" applyFont="1" applyAlignment="1">
      <alignment horizontal="center"/>
    </xf>
    <xf numFmtId="194" fontId="3" fillId="0" borderId="0" xfId="0" applyNumberFormat="1" applyFont="1" applyBorder="1" applyAlignment="1">
      <alignment horizontal="right"/>
    </xf>
    <xf numFmtId="194" fontId="3" fillId="0" borderId="1" xfId="0" applyNumberFormat="1" applyFont="1" applyBorder="1" applyAlignment="1">
      <alignment horizontal="right"/>
    </xf>
    <xf numFmtId="194" fontId="3" fillId="0" borderId="0" xfId="0" applyNumberFormat="1" applyFont="1" applyFill="1" applyBorder="1" applyAlignment="1">
      <alignment horizontal="right"/>
    </xf>
    <xf numFmtId="194" fontId="3" fillId="0" borderId="1" xfId="0" applyNumberFormat="1" applyFont="1" applyFill="1" applyBorder="1" applyAlignment="1">
      <alignment horizontal="right"/>
    </xf>
    <xf numFmtId="194" fontId="3" fillId="0" borderId="0" xfId="0" applyNumberFormat="1" applyFont="1" applyBorder="1"/>
    <xf numFmtId="194" fontId="3" fillId="0" borderId="0" xfId="0" applyNumberFormat="1" applyFont="1" applyFill="1" applyBorder="1"/>
    <xf numFmtId="194" fontId="3" fillId="0" borderId="1" xfId="0" applyNumberFormat="1" applyFont="1" applyFill="1" applyBorder="1"/>
    <xf numFmtId="194" fontId="3" fillId="0" borderId="1" xfId="0" applyNumberFormat="1" applyFont="1" applyBorder="1"/>
    <xf numFmtId="0" fontId="10" fillId="0" borderId="0" xfId="0" applyFont="1" applyFill="1"/>
    <xf numFmtId="0" fontId="11" fillId="0" borderId="0" xfId="0" applyFont="1" applyFill="1" applyBorder="1" applyAlignment="1">
      <alignment horizontal="right"/>
    </xf>
    <xf numFmtId="0" fontId="11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NumberFormat="1" applyFont="1"/>
    <xf numFmtId="0" fontId="3" fillId="0" borderId="0" xfId="0" applyNumberFormat="1" applyFont="1"/>
    <xf numFmtId="0" fontId="0" fillId="0" borderId="0" xfId="0" applyNumberFormat="1"/>
    <xf numFmtId="0" fontId="11" fillId="0" borderId="0" xfId="0" applyNumberFormat="1" applyFont="1"/>
    <xf numFmtId="0" fontId="4" fillId="0" borderId="0" xfId="0" applyNumberFormat="1" applyFont="1" applyAlignment="1">
      <alignment vertical="center" wrapText="1"/>
    </xf>
    <xf numFmtId="0" fontId="2" fillId="0" borderId="0" xfId="0" applyNumberFormat="1" applyFont="1"/>
    <xf numFmtId="0" fontId="5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 wrapText="1"/>
    </xf>
    <xf numFmtId="0" fontId="4" fillId="0" borderId="0" xfId="0" applyNumberFormat="1" applyFont="1"/>
    <xf numFmtId="0" fontId="2" fillId="0" borderId="0" xfId="0" applyNumberFormat="1" applyFont="1" applyFill="1"/>
    <xf numFmtId="0" fontId="3" fillId="0" borderId="0" xfId="0" applyNumberFormat="1" applyFont="1" applyFill="1"/>
    <xf numFmtId="0" fontId="4" fillId="0" borderId="0" xfId="0" applyNumberFormat="1" applyFont="1" applyFill="1"/>
    <xf numFmtId="0" fontId="2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6" fillId="0" borderId="0" xfId="0" applyNumberFormat="1" applyFont="1"/>
    <xf numFmtId="0" fontId="7" fillId="0" borderId="0" xfId="0" applyNumberFormat="1" applyFont="1" applyFill="1"/>
    <xf numFmtId="0" fontId="3" fillId="0" borderId="0" xfId="0" applyNumberFormat="1" applyFont="1" applyBorder="1"/>
    <xf numFmtId="0" fontId="1" fillId="0" borderId="0" xfId="0" applyNumberFormat="1" applyFont="1"/>
    <xf numFmtId="0" fontId="2" fillId="0" borderId="0" xfId="0" applyNumberFormat="1" applyFont="1" applyBorder="1"/>
    <xf numFmtId="0" fontId="8" fillId="0" borderId="0" xfId="0" applyNumberFormat="1" applyFont="1" applyFill="1"/>
    <xf numFmtId="0" fontId="0" fillId="0" borderId="0" xfId="0" applyNumberFormat="1" applyBorder="1"/>
    <xf numFmtId="0" fontId="16" fillId="0" borderId="0" xfId="0" applyFont="1" applyFill="1" applyBorder="1" applyAlignment="1">
      <alignment horizontal="right"/>
    </xf>
    <xf numFmtId="4" fontId="3" fillId="0" borderId="0" xfId="0" applyNumberFormat="1" applyFont="1" applyBorder="1" applyAlignment="1">
      <alignment horizontal="center"/>
    </xf>
    <xf numFmtId="0" fontId="7" fillId="0" borderId="4" xfId="0" applyFont="1" applyBorder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203" fontId="3" fillId="0" borderId="0" xfId="1" applyNumberFormat="1" applyFont="1" applyBorder="1" applyAlignment="1">
      <alignment horizontal="right"/>
    </xf>
    <xf numFmtId="194" fontId="3" fillId="0" borderId="5" xfId="0" applyNumberFormat="1" applyFont="1" applyBorder="1" applyAlignment="1">
      <alignment horizontal="right"/>
    </xf>
    <xf numFmtId="194" fontId="3" fillId="0" borderId="6" xfId="0" applyNumberFormat="1" applyFont="1" applyBorder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/>
    <xf numFmtId="0" fontId="3" fillId="2" borderId="8" xfId="0" applyFont="1" applyFill="1" applyBorder="1" applyAlignment="1">
      <alignment horizontal="center"/>
    </xf>
    <xf numFmtId="194" fontId="2" fillId="2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94" fontId="2" fillId="2" borderId="8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vertical="center" wrapText="1"/>
    </xf>
    <xf numFmtId="194" fontId="3" fillId="2" borderId="8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194" fontId="2" fillId="2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8" xfId="0" applyFont="1" applyFill="1" applyBorder="1" applyAlignment="1"/>
    <xf numFmtId="194" fontId="2" fillId="2" borderId="8" xfId="0" applyNumberFormat="1" applyFont="1" applyFill="1" applyBorder="1"/>
    <xf numFmtId="0" fontId="2" fillId="2" borderId="8" xfId="0" applyFont="1" applyFill="1" applyBorder="1" applyAlignment="1">
      <alignment vertical="distributed"/>
    </xf>
    <xf numFmtId="0" fontId="2" fillId="2" borderId="8" xfId="0" applyFont="1" applyFill="1" applyBorder="1" applyAlignment="1">
      <alignment horizontal="center" vertical="distributed"/>
    </xf>
    <xf numFmtId="4" fontId="3" fillId="0" borderId="1" xfId="0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94" fontId="11" fillId="2" borderId="8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center"/>
    </xf>
    <xf numFmtId="0" fontId="4" fillId="0" borderId="0" xfId="0" applyFont="1" applyBorder="1"/>
    <xf numFmtId="0" fontId="10" fillId="0" borderId="0" xfId="0" applyFont="1"/>
    <xf numFmtId="195" fontId="3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201" fontId="7" fillId="0" borderId="4" xfId="0" applyNumberFormat="1" applyFont="1" applyBorder="1"/>
    <xf numFmtId="201" fontId="12" fillId="0" borderId="4" xfId="0" applyNumberFormat="1" applyFont="1" applyFill="1" applyBorder="1"/>
    <xf numFmtId="0" fontId="12" fillId="0" borderId="4" xfId="0" applyFont="1" applyFill="1" applyBorder="1"/>
    <xf numFmtId="0" fontId="9" fillId="0" borderId="0" xfId="0" applyFont="1" applyFill="1" applyBorder="1" applyAlignment="1">
      <alignment horizontal="left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201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201" fontId="7" fillId="0" borderId="15" xfId="0" applyNumberFormat="1" applyFont="1" applyBorder="1"/>
    <xf numFmtId="181" fontId="7" fillId="0" borderId="15" xfId="0" applyNumberFormat="1" applyFont="1" applyBorder="1"/>
    <xf numFmtId="181" fontId="7" fillId="0" borderId="0" xfId="0" applyNumberFormat="1" applyFont="1" applyBorder="1"/>
    <xf numFmtId="0" fontId="12" fillId="0" borderId="0" xfId="0" applyNumberFormat="1" applyFont="1" applyBorder="1"/>
    <xf numFmtId="181" fontId="12" fillId="0" borderId="0" xfId="0" applyNumberFormat="1" applyFont="1" applyBorder="1"/>
    <xf numFmtId="0" fontId="12" fillId="0" borderId="0" xfId="0" applyNumberFormat="1" applyFont="1" applyFill="1" applyBorder="1"/>
    <xf numFmtId="1" fontId="12" fillId="0" borderId="0" xfId="0" applyNumberFormat="1" applyFont="1" applyBorder="1"/>
    <xf numFmtId="1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181" fontId="12" fillId="0" borderId="0" xfId="0" applyNumberFormat="1" applyFont="1" applyBorder="1" applyAlignment="1">
      <alignment horizontal="right"/>
    </xf>
    <xf numFmtId="0" fontId="7" fillId="0" borderId="15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0" borderId="16" xfId="0" applyFont="1" applyBorder="1"/>
    <xf numFmtId="0" fontId="0" fillId="0" borderId="16" xfId="0" applyBorder="1"/>
    <xf numFmtId="0" fontId="9" fillId="3" borderId="16" xfId="0" applyFont="1" applyFill="1" applyBorder="1" applyAlignment="1">
      <alignment horizontal="left"/>
    </xf>
    <xf numFmtId="0" fontId="9" fillId="0" borderId="16" xfId="0" applyFont="1" applyFill="1" applyBorder="1" applyAlignment="1">
      <alignment horizontal="left"/>
    </xf>
    <xf numFmtId="194" fontId="3" fillId="2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2" fillId="4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180" fontId="1" fillId="0" borderId="0" xfId="0" applyNumberFormat="1" applyFont="1"/>
    <xf numFmtId="0" fontId="17" fillId="0" borderId="4" xfId="0" applyFont="1" applyBorder="1" applyAlignment="1">
      <alignment horizontal="right"/>
    </xf>
    <xf numFmtId="190" fontId="17" fillId="0" borderId="4" xfId="0" applyNumberFormat="1" applyFont="1" applyBorder="1"/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10" xfId="0" applyFont="1" applyBorder="1"/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201" fontId="18" fillId="0" borderId="4" xfId="0" applyNumberFormat="1" applyFont="1" applyBorder="1"/>
    <xf numFmtId="0" fontId="18" fillId="0" borderId="0" xfId="0" applyNumberFormat="1" applyFont="1" applyBorder="1"/>
    <xf numFmtId="181" fontId="18" fillId="0" borderId="0" xfId="0" applyNumberFormat="1" applyFont="1" applyBorder="1"/>
    <xf numFmtId="0" fontId="18" fillId="0" borderId="4" xfId="0" applyFont="1" applyFill="1" applyBorder="1"/>
    <xf numFmtId="0" fontId="18" fillId="0" borderId="4" xfId="0" applyFont="1" applyBorder="1" applyAlignment="1">
      <alignment vertical="center" wrapText="1"/>
    </xf>
    <xf numFmtId="0" fontId="18" fillId="0" borderId="4" xfId="0" applyFont="1" applyFill="1" applyBorder="1" applyAlignment="1">
      <alignment horizontal="center"/>
    </xf>
    <xf numFmtId="201" fontId="18" fillId="0" borderId="4" xfId="0" applyNumberFormat="1" applyFont="1" applyFill="1" applyBorder="1"/>
    <xf numFmtId="0" fontId="18" fillId="0" borderId="0" xfId="0" applyNumberFormat="1" applyFont="1" applyFill="1" applyBorder="1"/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/>
    </xf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/>
    </xf>
    <xf numFmtId="181" fontId="18" fillId="0" borderId="0" xfId="0" applyNumberFormat="1" applyFont="1" applyBorder="1" applyAlignment="1">
      <alignment horizontal="right"/>
    </xf>
    <xf numFmtId="3" fontId="18" fillId="0" borderId="4" xfId="0" applyNumberFormat="1" applyFont="1" applyFill="1" applyBorder="1" applyAlignment="1">
      <alignment horizontal="right"/>
    </xf>
    <xf numFmtId="0" fontId="18" fillId="0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vertical="center"/>
    </xf>
    <xf numFmtId="202" fontId="18" fillId="0" borderId="4" xfId="0" applyNumberFormat="1" applyFont="1" applyFill="1" applyBorder="1"/>
    <xf numFmtId="0" fontId="18" fillId="0" borderId="11" xfId="0" applyFont="1" applyBorder="1"/>
    <xf numFmtId="0" fontId="18" fillId="0" borderId="12" xfId="0" applyFont="1" applyFill="1" applyBorder="1"/>
    <xf numFmtId="0" fontId="18" fillId="0" borderId="12" xfId="0" applyFont="1" applyFill="1" applyBorder="1" applyAlignment="1">
      <alignment horizontal="center"/>
    </xf>
    <xf numFmtId="201" fontId="18" fillId="0" borderId="12" xfId="0" applyNumberFormat="1" applyFont="1" applyFill="1" applyBorder="1"/>
    <xf numFmtId="0" fontId="18" fillId="0" borderId="12" xfId="0" applyFont="1" applyBorder="1"/>
    <xf numFmtId="0" fontId="18" fillId="0" borderId="13" xfId="0" applyNumberFormat="1" applyFont="1" applyBorder="1"/>
    <xf numFmtId="181" fontId="18" fillId="0" borderId="13" xfId="0" applyNumberFormat="1" applyFont="1" applyBorder="1"/>
    <xf numFmtId="0" fontId="18" fillId="0" borderId="0" xfId="0" applyFont="1" applyFill="1"/>
    <xf numFmtId="0" fontId="18" fillId="0" borderId="0" xfId="0" applyNumberFormat="1" applyFont="1"/>
    <xf numFmtId="181" fontId="18" fillId="0" borderId="0" xfId="0" applyNumberFormat="1" applyFont="1"/>
    <xf numFmtId="0" fontId="3" fillId="0" borderId="0" xfId="0" applyFont="1" applyFill="1" applyBorder="1" applyAlignment="1">
      <alignment vertical="center"/>
    </xf>
    <xf numFmtId="9" fontId="3" fillId="0" borderId="1" xfId="2" applyFont="1" applyFill="1" applyBorder="1" applyAlignment="1" applyProtection="1">
      <alignment horizontal="center"/>
    </xf>
    <xf numFmtId="9" fontId="3" fillId="2" borderId="8" xfId="2" applyFont="1" applyFill="1" applyBorder="1" applyAlignment="1" applyProtection="1">
      <alignment horizontal="center"/>
    </xf>
    <xf numFmtId="194" fontId="3" fillId="2" borderId="8" xfId="0" applyNumberFormat="1" applyFont="1" applyFill="1" applyBorder="1"/>
    <xf numFmtId="9" fontId="3" fillId="0" borderId="0" xfId="2" applyFont="1" applyFill="1" applyBorder="1" applyAlignment="1" applyProtection="1">
      <alignment horizontal="center"/>
    </xf>
    <xf numFmtId="0" fontId="19" fillId="5" borderId="17" xfId="0" applyFont="1" applyFill="1" applyBorder="1" applyAlignment="1">
      <alignment horizontal="center"/>
    </xf>
    <xf numFmtId="0" fontId="0" fillId="0" borderId="0" xfId="0" applyFill="1" applyBorder="1" applyAlignment="1"/>
    <xf numFmtId="0" fontId="2" fillId="5" borderId="18" xfId="0" applyFont="1" applyFill="1" applyBorder="1" applyAlignment="1">
      <alignment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3" fontId="7" fillId="0" borderId="21" xfId="0" applyNumberFormat="1" applyFont="1" applyFill="1" applyBorder="1"/>
    <xf numFmtId="3" fontId="7" fillId="0" borderId="22" xfId="0" applyNumberFormat="1" applyFont="1" applyFill="1" applyBorder="1"/>
    <xf numFmtId="3" fontId="18" fillId="0" borderId="22" xfId="0" applyNumberFormat="1" applyFont="1" applyFill="1" applyBorder="1"/>
    <xf numFmtId="0" fontId="18" fillId="0" borderId="23" xfId="0" applyFont="1" applyFill="1" applyBorder="1"/>
    <xf numFmtId="0" fontId="2" fillId="2" borderId="24" xfId="0" applyFont="1" applyFill="1" applyBorder="1"/>
    <xf numFmtId="194" fontId="2" fillId="2" borderId="25" xfId="0" applyNumberFormat="1" applyFont="1" applyFill="1" applyBorder="1" applyAlignment="1">
      <alignment horizontal="right"/>
    </xf>
    <xf numFmtId="0" fontId="3" fillId="0" borderId="24" xfId="0" applyFont="1" applyBorder="1"/>
    <xf numFmtId="195" fontId="3" fillId="0" borderId="25" xfId="0" applyNumberFormat="1" applyFont="1" applyBorder="1" applyAlignment="1">
      <alignment horizontal="right"/>
    </xf>
    <xf numFmtId="0" fontId="3" fillId="0" borderId="14" xfId="0" applyFont="1" applyBorder="1"/>
    <xf numFmtId="195" fontId="3" fillId="0" borderId="21" xfId="0" applyNumberFormat="1" applyFont="1" applyBorder="1" applyAlignment="1">
      <alignment horizontal="right"/>
    </xf>
    <xf numFmtId="0" fontId="2" fillId="2" borderId="26" xfId="0" applyFont="1" applyFill="1" applyBorder="1"/>
    <xf numFmtId="194" fontId="2" fillId="2" borderId="27" xfId="0" applyNumberFormat="1" applyFont="1" applyFill="1" applyBorder="1" applyAlignment="1">
      <alignment horizontal="right"/>
    </xf>
    <xf numFmtId="0" fontId="2" fillId="0" borderId="24" xfId="0" applyFont="1" applyBorder="1"/>
    <xf numFmtId="0" fontId="2" fillId="0" borderId="14" xfId="0" applyFont="1" applyBorder="1"/>
    <xf numFmtId="0" fontId="2" fillId="2" borderId="26" xfId="0" applyFont="1" applyFill="1" applyBorder="1" applyAlignment="1"/>
    <xf numFmtId="0" fontId="3" fillId="0" borderId="24" xfId="0" applyFont="1" applyBorder="1" applyAlignment="1"/>
    <xf numFmtId="0" fontId="3" fillId="0" borderId="14" xfId="0" applyFont="1" applyBorder="1" applyAlignment="1"/>
    <xf numFmtId="0" fontId="2" fillId="0" borderId="24" xfId="0" applyFont="1" applyFill="1" applyBorder="1"/>
    <xf numFmtId="195" fontId="3" fillId="0" borderId="25" xfId="0" applyNumberFormat="1" applyFont="1" applyFill="1" applyBorder="1" applyAlignment="1">
      <alignment horizontal="right"/>
    </xf>
    <xf numFmtId="0" fontId="2" fillId="0" borderId="14" xfId="0" applyFont="1" applyFill="1" applyBorder="1"/>
    <xf numFmtId="195" fontId="3" fillId="0" borderId="21" xfId="0" applyNumberFormat="1" applyFont="1" applyFill="1" applyBorder="1" applyAlignment="1">
      <alignment horizontal="right"/>
    </xf>
    <xf numFmtId="0" fontId="2" fillId="2" borderId="26" xfId="0" applyFont="1" applyFill="1" applyBorder="1" applyAlignment="1">
      <alignment vertical="distributed"/>
    </xf>
    <xf numFmtId="0" fontId="3" fillId="0" borderId="24" xfId="0" applyFont="1" applyBorder="1" applyAlignment="1">
      <alignment vertical="distributed"/>
    </xf>
    <xf numFmtId="0" fontId="3" fillId="0" borderId="14" xfId="0" applyFont="1" applyBorder="1" applyAlignment="1">
      <alignment vertical="distributed"/>
    </xf>
    <xf numFmtId="194" fontId="2" fillId="2" borderId="27" xfId="0" applyNumberFormat="1" applyFont="1" applyFill="1" applyBorder="1" applyAlignment="1">
      <alignment horizontal="right" vertical="center" wrapText="1"/>
    </xf>
    <xf numFmtId="195" fontId="3" fillId="0" borderId="25" xfId="0" applyNumberFormat="1" applyFont="1" applyBorder="1" applyAlignment="1">
      <alignment horizontal="right" vertical="center" wrapText="1"/>
    </xf>
    <xf numFmtId="195" fontId="3" fillId="0" borderId="21" xfId="0" applyNumberFormat="1" applyFont="1" applyBorder="1" applyAlignment="1">
      <alignment horizontal="right" vertical="center" wrapText="1"/>
    </xf>
    <xf numFmtId="195" fontId="3" fillId="0" borderId="25" xfId="0" applyNumberFormat="1" applyFont="1" applyFill="1" applyBorder="1" applyAlignment="1"/>
    <xf numFmtId="195" fontId="3" fillId="0" borderId="25" xfId="0" applyNumberFormat="1" applyFont="1" applyFill="1" applyBorder="1"/>
    <xf numFmtId="195" fontId="3" fillId="0" borderId="21" xfId="0" applyNumberFormat="1" applyFont="1" applyFill="1" applyBorder="1"/>
    <xf numFmtId="0" fontId="3" fillId="0" borderId="24" xfId="0" applyFont="1" applyFill="1" applyBorder="1" applyAlignment="1">
      <alignment vertical="distributed"/>
    </xf>
    <xf numFmtId="0" fontId="3" fillId="0" borderId="14" xfId="0" applyFont="1" applyFill="1" applyBorder="1" applyAlignment="1">
      <alignment vertical="distributed"/>
    </xf>
    <xf numFmtId="0" fontId="2" fillId="0" borderId="24" xfId="0" applyFont="1" applyBorder="1" applyAlignment="1">
      <alignment vertical="distributed"/>
    </xf>
    <xf numFmtId="0" fontId="2" fillId="0" borderId="14" xfId="0" applyFont="1" applyBorder="1" applyAlignment="1">
      <alignment vertical="distributed"/>
    </xf>
    <xf numFmtId="0" fontId="3" fillId="0" borderId="24" xfId="0" applyFont="1" applyFill="1" applyBorder="1"/>
    <xf numFmtId="194" fontId="3" fillId="0" borderId="25" xfId="0" applyNumberFormat="1" applyFont="1" applyBorder="1" applyAlignment="1">
      <alignment horizontal="right"/>
    </xf>
    <xf numFmtId="194" fontId="3" fillId="0" borderId="21" xfId="0" applyNumberFormat="1" applyFont="1" applyBorder="1" applyAlignment="1">
      <alignment horizontal="right"/>
    </xf>
    <xf numFmtId="0" fontId="2" fillId="0" borderId="28" xfId="0" applyFont="1" applyBorder="1"/>
    <xf numFmtId="0" fontId="3" fillId="0" borderId="13" xfId="0" applyFont="1" applyBorder="1"/>
    <xf numFmtId="9" fontId="3" fillId="0" borderId="13" xfId="2" applyFont="1" applyFill="1" applyBorder="1" applyAlignment="1" applyProtection="1">
      <alignment horizontal="center"/>
    </xf>
    <xf numFmtId="4" fontId="3" fillId="0" borderId="13" xfId="0" applyNumberFormat="1" applyFont="1" applyBorder="1" applyAlignment="1">
      <alignment horizontal="center"/>
    </xf>
    <xf numFmtId="194" fontId="3" fillId="0" borderId="13" xfId="0" applyNumberFormat="1" applyFont="1" applyBorder="1"/>
    <xf numFmtId="195" fontId="3" fillId="0" borderId="29" xfId="0" applyNumberFormat="1" applyFont="1" applyBorder="1" applyAlignment="1">
      <alignment horizontal="right"/>
    </xf>
    <xf numFmtId="0" fontId="7" fillId="3" borderId="21" xfId="0" applyFont="1" applyFill="1" applyBorder="1"/>
    <xf numFmtId="0" fontId="12" fillId="3" borderId="22" xfId="0" applyFont="1" applyFill="1" applyBorder="1"/>
    <xf numFmtId="0" fontId="18" fillId="3" borderId="22" xfId="0" applyFont="1" applyFill="1" applyBorder="1"/>
    <xf numFmtId="0" fontId="18" fillId="3" borderId="29" xfId="0" applyFont="1" applyFill="1" applyBorder="1"/>
    <xf numFmtId="0" fontId="2" fillId="5" borderId="30" xfId="0" applyFont="1" applyFill="1" applyBorder="1" applyAlignment="1">
      <alignment horizontal="center" vertical="center" wrapText="1"/>
    </xf>
    <xf numFmtId="194" fontId="2" fillId="2" borderId="31" xfId="0" applyNumberFormat="1" applyFont="1" applyFill="1" applyBorder="1" applyAlignment="1">
      <alignment horizontal="right"/>
    </xf>
    <xf numFmtId="195" fontId="3" fillId="0" borderId="32" xfId="0" applyNumberFormat="1" applyFont="1" applyBorder="1" applyAlignment="1">
      <alignment horizontal="right"/>
    </xf>
    <xf numFmtId="195" fontId="3" fillId="0" borderId="33" xfId="0" applyNumberFormat="1" applyFont="1" applyBorder="1" applyAlignment="1">
      <alignment horizontal="right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194" fontId="3" fillId="2" borderId="9" xfId="0" applyNumberFormat="1" applyFont="1" applyFill="1" applyBorder="1" applyAlignment="1">
      <alignment horizontal="right"/>
    </xf>
    <xf numFmtId="194" fontId="3" fillId="2" borderId="5" xfId="0" applyNumberFormat="1" applyFont="1" applyFill="1" applyBorder="1" applyAlignment="1">
      <alignment horizontal="right"/>
    </xf>
    <xf numFmtId="194" fontId="2" fillId="2" borderId="32" xfId="0" applyNumberFormat="1" applyFont="1" applyFill="1" applyBorder="1" applyAlignment="1">
      <alignment horizontal="right"/>
    </xf>
    <xf numFmtId="0" fontId="3" fillId="0" borderId="28" xfId="0" applyFont="1" applyBorder="1"/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/>
    </xf>
    <xf numFmtId="194" fontId="3" fillId="0" borderId="13" xfId="0" applyNumberFormat="1" applyFont="1" applyBorder="1" applyAlignment="1">
      <alignment horizontal="right"/>
    </xf>
    <xf numFmtId="0" fontId="2" fillId="2" borderId="34" xfId="0" applyFont="1" applyFill="1" applyBorder="1"/>
    <xf numFmtId="0" fontId="2" fillId="2" borderId="34" xfId="0" applyFont="1" applyFill="1" applyBorder="1" applyAlignment="1">
      <alignment horizontal="center"/>
    </xf>
    <xf numFmtId="194" fontId="2" fillId="2" borderId="34" xfId="0" applyNumberFormat="1" applyFont="1" applyFill="1" applyBorder="1" applyAlignment="1">
      <alignment horizontal="right"/>
    </xf>
    <xf numFmtId="0" fontId="19" fillId="5" borderId="35" xfId="0" applyFont="1" applyFill="1" applyBorder="1" applyAlignment="1">
      <alignment horizontal="center"/>
    </xf>
    <xf numFmtId="0" fontId="2" fillId="2" borderId="36" xfId="0" applyFont="1" applyFill="1" applyBorder="1"/>
    <xf numFmtId="0" fontId="2" fillId="2" borderId="37" xfId="0" applyFont="1" applyFill="1" applyBorder="1"/>
    <xf numFmtId="0" fontId="2" fillId="2" borderId="37" xfId="0" applyFont="1" applyFill="1" applyBorder="1" applyAlignment="1">
      <alignment horizontal="center"/>
    </xf>
    <xf numFmtId="194" fontId="2" fillId="2" borderId="37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3" fillId="0" borderId="13" xfId="0" applyFont="1" applyFill="1" applyBorder="1"/>
    <xf numFmtId="194" fontId="2" fillId="2" borderId="38" xfId="0" applyNumberFormat="1" applyFont="1" applyFill="1" applyBorder="1" applyAlignment="1">
      <alignment horizontal="right"/>
    </xf>
    <xf numFmtId="194" fontId="2" fillId="2" borderId="22" xfId="0" applyNumberFormat="1" applyFont="1" applyFill="1" applyBorder="1" applyAlignment="1">
      <alignment horizontal="right"/>
    </xf>
    <xf numFmtId="0" fontId="2" fillId="0" borderId="5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" xfId="0" applyFill="1" applyBorder="1"/>
    <xf numFmtId="0" fontId="1" fillId="0" borderId="4" xfId="0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vertical="center" wrapText="1"/>
    </xf>
    <xf numFmtId="0" fontId="18" fillId="6" borderId="22" xfId="0" applyFont="1" applyFill="1" applyBorder="1"/>
    <xf numFmtId="1" fontId="7" fillId="0" borderId="0" xfId="0" applyNumberFormat="1" applyFont="1" applyFill="1"/>
    <xf numFmtId="0" fontId="6" fillId="7" borderId="38" xfId="0" applyFont="1" applyFill="1" applyBorder="1" applyAlignment="1">
      <alignment horizontal="center" wrapText="1"/>
    </xf>
    <xf numFmtId="3" fontId="7" fillId="0" borderId="4" xfId="0" applyNumberFormat="1" applyFont="1" applyFill="1" applyBorder="1"/>
    <xf numFmtId="3" fontId="7" fillId="0" borderId="39" xfId="0" applyNumberFormat="1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3" fontId="7" fillId="0" borderId="0" xfId="0" applyNumberFormat="1" applyFont="1" applyBorder="1"/>
    <xf numFmtId="0" fontId="6" fillId="7" borderId="35" xfId="0" applyFont="1" applyFill="1" applyBorder="1" applyAlignment="1">
      <alignment horizontal="left" wrapText="1"/>
    </xf>
    <xf numFmtId="0" fontId="6" fillId="7" borderId="40" xfId="0" applyFont="1" applyFill="1" applyBorder="1" applyAlignment="1">
      <alignment horizontal="center" vertical="center" wrapText="1"/>
    </xf>
    <xf numFmtId="0" fontId="6" fillId="7" borderId="37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7" fillId="0" borderId="41" xfId="0" applyFont="1" applyBorder="1"/>
    <xf numFmtId="0" fontId="7" fillId="0" borderId="39" xfId="0" applyFont="1" applyBorder="1"/>
    <xf numFmtId="0" fontId="7" fillId="0" borderId="39" xfId="0" applyFont="1" applyBorder="1" applyAlignment="1">
      <alignment horizontal="center"/>
    </xf>
    <xf numFmtId="201" fontId="7" fillId="0" borderId="39" xfId="0" applyNumberFormat="1" applyFont="1" applyBorder="1"/>
    <xf numFmtId="181" fontId="7" fillId="0" borderId="39" xfId="0" applyNumberFormat="1" applyFont="1" applyBorder="1"/>
    <xf numFmtId="0" fontId="7" fillId="0" borderId="37" xfId="0" applyFont="1" applyBorder="1"/>
    <xf numFmtId="181" fontId="7" fillId="0" borderId="42" xfId="0" applyNumberFormat="1" applyFont="1" applyBorder="1"/>
    <xf numFmtId="3" fontId="7" fillId="0" borderId="12" xfId="0" applyNumberFormat="1" applyFont="1" applyFill="1" applyBorder="1"/>
    <xf numFmtId="0" fontId="1" fillId="3" borderId="43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8" fillId="3" borderId="44" xfId="0" applyFont="1" applyFill="1" applyBorder="1" applyAlignment="1">
      <alignment horizontal="left"/>
    </xf>
    <xf numFmtId="0" fontId="8" fillId="3" borderId="45" xfId="0" applyFont="1" applyFill="1" applyBorder="1" applyAlignment="1">
      <alignment horizontal="left"/>
    </xf>
    <xf numFmtId="0" fontId="8" fillId="3" borderId="46" xfId="0" applyFont="1" applyFill="1" applyBorder="1" applyAlignment="1">
      <alignment horizontal="left"/>
    </xf>
    <xf numFmtId="0" fontId="3" fillId="3" borderId="46" xfId="0" applyFont="1" applyFill="1" applyBorder="1" applyAlignment="1">
      <alignment horizontal="left"/>
    </xf>
    <xf numFmtId="0" fontId="3" fillId="3" borderId="45" xfId="0" applyFont="1" applyFill="1" applyBorder="1" applyAlignment="1">
      <alignment horizontal="left"/>
    </xf>
    <xf numFmtId="0" fontId="4" fillId="3" borderId="45" xfId="0" applyFont="1" applyFill="1" applyBorder="1" applyAlignment="1">
      <alignment horizontal="left"/>
    </xf>
    <xf numFmtId="0" fontId="8" fillId="3" borderId="47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left"/>
    </xf>
    <xf numFmtId="0" fontId="4" fillId="3" borderId="47" xfId="0" applyFont="1" applyFill="1" applyBorder="1" applyAlignment="1">
      <alignment horizontal="left"/>
    </xf>
    <xf numFmtId="0" fontId="5" fillId="3" borderId="45" xfId="0" applyFont="1" applyFill="1" applyBorder="1" applyAlignment="1">
      <alignment horizontal="left"/>
    </xf>
    <xf numFmtId="0" fontId="5" fillId="3" borderId="46" xfId="0" applyFont="1" applyFill="1" applyBorder="1" applyAlignment="1">
      <alignment horizontal="left"/>
    </xf>
    <xf numFmtId="0" fontId="5" fillId="3" borderId="47" xfId="0" applyFont="1" applyFill="1" applyBorder="1" applyAlignment="1">
      <alignment horizontal="left"/>
    </xf>
    <xf numFmtId="0" fontId="5" fillId="3" borderId="48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0" fontId="0" fillId="3" borderId="0" xfId="0" applyFill="1" applyBorder="1" applyAlignment="1"/>
    <xf numFmtId="0" fontId="3" fillId="3" borderId="44" xfId="0" applyFont="1" applyFill="1" applyBorder="1" applyAlignment="1">
      <alignment horizontal="left"/>
    </xf>
    <xf numFmtId="0" fontId="3" fillId="3" borderId="47" xfId="0" applyFont="1" applyFill="1" applyBorder="1" applyAlignment="1">
      <alignment horizontal="left"/>
    </xf>
    <xf numFmtId="0" fontId="8" fillId="3" borderId="48" xfId="0" applyFont="1" applyFill="1" applyBorder="1" applyAlignment="1">
      <alignment horizontal="left"/>
    </xf>
    <xf numFmtId="0" fontId="6" fillId="8" borderId="30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center" vertical="center" wrapText="1" shrinkToFit="1"/>
    </xf>
    <xf numFmtId="201" fontId="6" fillId="8" borderId="51" xfId="0" applyNumberFormat="1" applyFont="1" applyFill="1" applyBorder="1" applyAlignment="1">
      <alignment horizontal="left" vertical="center" wrapText="1" shrinkToFit="1"/>
    </xf>
    <xf numFmtId="0" fontId="6" fillId="8" borderId="52" xfId="0" applyFont="1" applyFill="1" applyBorder="1" applyAlignment="1">
      <alignment vertical="center" wrapText="1"/>
    </xf>
    <xf numFmtId="0" fontId="6" fillId="8" borderId="18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9" xfId="0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indexed="14"/>
  </sheetPr>
  <dimension ref="A1:K356"/>
  <sheetViews>
    <sheetView zoomScaleNormal="75" workbookViewId="0">
      <pane xSplit="2" ySplit="3" topLeftCell="F154" activePane="bottomRight" state="frozen"/>
      <selection pane="topRight" activeCell="C1" sqref="C1"/>
      <selection pane="bottomLeft" activeCell="A4" sqref="A4"/>
      <selection pane="bottomRight" activeCell="I8" sqref="I8"/>
    </sheetView>
  </sheetViews>
  <sheetFormatPr baseColWidth="10" defaultRowHeight="12.75" x14ac:dyDescent="0.2"/>
  <cols>
    <col min="1" max="1" width="5.5703125" style="9" customWidth="1"/>
    <col min="2" max="2" width="51.5703125" style="9" customWidth="1"/>
    <col min="3" max="3" width="9.140625" style="18" customWidth="1"/>
    <col min="4" max="4" width="15.85546875" style="19" customWidth="1"/>
    <col min="5" max="5" width="34.85546875" style="9" customWidth="1"/>
    <col min="6" max="6" width="15.85546875" style="38" customWidth="1"/>
    <col min="7" max="7" width="12.42578125" style="9" customWidth="1"/>
    <col min="8" max="8" width="11.42578125" style="9" customWidth="1"/>
    <col min="9" max="9" width="48.140625" style="9" customWidth="1"/>
    <col min="10" max="16384" width="11.42578125" style="9"/>
  </cols>
  <sheetData>
    <row r="1" spans="1:9" x14ac:dyDescent="0.2">
      <c r="A1" s="5"/>
      <c r="B1" s="5"/>
      <c r="C1" s="2"/>
      <c r="D1" s="152"/>
      <c r="E1" s="153" t="s">
        <v>655</v>
      </c>
      <c r="F1" s="154">
        <v>21460.400000000001</v>
      </c>
      <c r="G1" s="155"/>
      <c r="H1" s="155"/>
      <c r="I1" s="155"/>
    </row>
    <row r="2" spans="1:9" ht="13.5" thickBot="1" x14ac:dyDescent="0.25">
      <c r="A2" s="155"/>
      <c r="B2" s="155"/>
      <c r="C2" s="156"/>
      <c r="D2" s="43"/>
      <c r="G2" s="13" t="s">
        <v>561</v>
      </c>
      <c r="H2" s="13" t="s">
        <v>561</v>
      </c>
    </row>
    <row r="3" spans="1:9" s="116" customFormat="1" ht="27" customHeight="1" thickBot="1" x14ac:dyDescent="0.25">
      <c r="A3" s="319" t="s">
        <v>518</v>
      </c>
      <c r="B3" s="320" t="s">
        <v>15</v>
      </c>
      <c r="C3" s="321" t="s">
        <v>16</v>
      </c>
      <c r="D3" s="322" t="s">
        <v>651</v>
      </c>
      <c r="E3" s="320" t="s">
        <v>654</v>
      </c>
      <c r="F3" s="323" t="s">
        <v>652</v>
      </c>
      <c r="G3" s="324" t="s">
        <v>522</v>
      </c>
      <c r="H3" s="324" t="s">
        <v>523</v>
      </c>
      <c r="I3" s="323" t="s">
        <v>516</v>
      </c>
    </row>
    <row r="4" spans="1:9" x14ac:dyDescent="0.2">
      <c r="A4" s="124">
        <v>1</v>
      </c>
      <c r="B4" s="137" t="s">
        <v>164</v>
      </c>
      <c r="C4" s="126" t="s">
        <v>17</v>
      </c>
      <c r="D4" s="127">
        <v>1.0669948353622184E-2</v>
      </c>
      <c r="E4" s="125"/>
      <c r="F4" s="199">
        <f t="shared" ref="F4:F67" si="0">D4*$F$1</f>
        <v>228.98135964807352</v>
      </c>
      <c r="G4" s="130">
        <v>490</v>
      </c>
      <c r="H4" s="129">
        <f t="shared" ref="H4:H35" si="1">+G4/$F$1</f>
        <v>2.2832752418407858E-2</v>
      </c>
      <c r="I4" s="242"/>
    </row>
    <row r="5" spans="1:9" x14ac:dyDescent="0.2">
      <c r="A5" s="118">
        <v>2</v>
      </c>
      <c r="B5" s="81" t="s">
        <v>547</v>
      </c>
      <c r="C5" s="110" t="s">
        <v>17</v>
      </c>
      <c r="D5" s="111">
        <v>3.5789781921566788E-2</v>
      </c>
      <c r="E5" s="81"/>
      <c r="F5" s="200">
        <f t="shared" si="0"/>
        <v>768.06303594959195</v>
      </c>
      <c r="G5" s="130">
        <v>486</v>
      </c>
      <c r="H5" s="131">
        <f t="shared" si="1"/>
        <v>2.2646362602747383E-2</v>
      </c>
      <c r="I5" s="243"/>
    </row>
    <row r="6" spans="1:9" x14ac:dyDescent="0.2">
      <c r="A6" s="157">
        <v>3</v>
      </c>
      <c r="B6" s="158" t="s">
        <v>238</v>
      </c>
      <c r="C6" s="159" t="s">
        <v>20</v>
      </c>
      <c r="D6" s="160">
        <v>8.7225631608310497E-2</v>
      </c>
      <c r="E6" s="158" t="s">
        <v>239</v>
      </c>
      <c r="F6" s="201">
        <f t="shared" si="0"/>
        <v>1871.8969445669868</v>
      </c>
      <c r="G6" s="130"/>
      <c r="H6" s="162">
        <f t="shared" si="1"/>
        <v>0</v>
      </c>
      <c r="I6" s="244"/>
    </row>
    <row r="7" spans="1:9" x14ac:dyDescent="0.2">
      <c r="A7" s="157">
        <v>4</v>
      </c>
      <c r="B7" s="158" t="s">
        <v>566</v>
      </c>
      <c r="C7" s="159" t="s">
        <v>18</v>
      </c>
      <c r="D7" s="160">
        <f>+F7/$F$1</f>
        <v>5.1257199306629884E-2</v>
      </c>
      <c r="E7" s="158"/>
      <c r="F7" s="201">
        <v>1100</v>
      </c>
      <c r="G7" s="130"/>
      <c r="H7" s="162">
        <f t="shared" si="1"/>
        <v>0</v>
      </c>
      <c r="I7" s="244"/>
    </row>
    <row r="8" spans="1:9" x14ac:dyDescent="0.2">
      <c r="A8" s="157">
        <v>5</v>
      </c>
      <c r="B8" s="158" t="s">
        <v>565</v>
      </c>
      <c r="C8" s="159" t="s">
        <v>18</v>
      </c>
      <c r="D8" s="160">
        <f>+F8/$F$1</f>
        <v>5.1257199306629884E-2</v>
      </c>
      <c r="E8" s="158"/>
      <c r="F8" s="201">
        <v>1100</v>
      </c>
      <c r="G8" s="130"/>
      <c r="H8" s="162">
        <f t="shared" si="1"/>
        <v>0</v>
      </c>
      <c r="I8" s="244"/>
    </row>
    <row r="9" spans="1:9" x14ac:dyDescent="0.2">
      <c r="A9" s="157">
        <v>6</v>
      </c>
      <c r="B9" s="163" t="s">
        <v>563</v>
      </c>
      <c r="C9" s="159" t="s">
        <v>18</v>
      </c>
      <c r="D9" s="160">
        <f>+F9/$F$1</f>
        <v>5.1257199306629884E-2</v>
      </c>
      <c r="E9" s="158"/>
      <c r="F9" s="201">
        <v>1100</v>
      </c>
      <c r="G9" s="130"/>
      <c r="H9" s="162">
        <f t="shared" si="1"/>
        <v>0</v>
      </c>
      <c r="I9" s="244"/>
    </row>
    <row r="10" spans="1:9" x14ac:dyDescent="0.2">
      <c r="A10" s="157">
        <v>7</v>
      </c>
      <c r="B10" s="163" t="s">
        <v>564</v>
      </c>
      <c r="C10" s="159" t="s">
        <v>18</v>
      </c>
      <c r="D10" s="160">
        <f>+F10/$F$1</f>
        <v>5.1257199306629884E-2</v>
      </c>
      <c r="E10" s="158"/>
      <c r="F10" s="201">
        <v>1100</v>
      </c>
      <c r="G10" s="130"/>
      <c r="H10" s="162">
        <f t="shared" si="1"/>
        <v>0</v>
      </c>
      <c r="I10" s="244"/>
    </row>
    <row r="11" spans="1:9" x14ac:dyDescent="0.2">
      <c r="A11" s="157">
        <v>8</v>
      </c>
      <c r="B11" s="158" t="s">
        <v>567</v>
      </c>
      <c r="C11" s="159" t="s">
        <v>18</v>
      </c>
      <c r="D11" s="160">
        <f>+F11/$F$1</f>
        <v>5.1257199306629884E-2</v>
      </c>
      <c r="E11" s="158"/>
      <c r="F11" s="201">
        <v>1100</v>
      </c>
      <c r="G11" s="130"/>
      <c r="H11" s="162">
        <f t="shared" si="1"/>
        <v>0</v>
      </c>
      <c r="I11" s="244"/>
    </row>
    <row r="12" spans="1:9" x14ac:dyDescent="0.2">
      <c r="A12" s="157">
        <v>9</v>
      </c>
      <c r="B12" s="164" t="s">
        <v>190</v>
      </c>
      <c r="C12" s="159" t="s">
        <v>20</v>
      </c>
      <c r="D12" s="160">
        <v>1.2009672810579229E-2</v>
      </c>
      <c r="E12" s="158" t="s">
        <v>466</v>
      </c>
      <c r="F12" s="201">
        <f t="shared" si="0"/>
        <v>257.7323823841545</v>
      </c>
      <c r="G12" s="130"/>
      <c r="H12" s="162">
        <f t="shared" si="1"/>
        <v>0</v>
      </c>
      <c r="I12" s="244"/>
    </row>
    <row r="13" spans="1:9" x14ac:dyDescent="0.2">
      <c r="A13" s="157">
        <v>10</v>
      </c>
      <c r="B13" s="164" t="s">
        <v>247</v>
      </c>
      <c r="C13" s="159" t="s">
        <v>19</v>
      </c>
      <c r="D13" s="160">
        <f>+H13</f>
        <v>7.2226053568433021E-2</v>
      </c>
      <c r="E13" s="158" t="s">
        <v>596</v>
      </c>
      <c r="F13" s="201">
        <f t="shared" si="0"/>
        <v>1550.0000000000002</v>
      </c>
      <c r="G13" s="130">
        <v>1550</v>
      </c>
      <c r="H13" s="131">
        <f t="shared" si="1"/>
        <v>7.2226053568433021E-2</v>
      </c>
      <c r="I13" s="244"/>
    </row>
    <row r="14" spans="1:9" x14ac:dyDescent="0.2">
      <c r="A14" s="157">
        <v>11</v>
      </c>
      <c r="B14" s="158" t="s">
        <v>245</v>
      </c>
      <c r="C14" s="159" t="s">
        <v>595</v>
      </c>
      <c r="D14" s="160">
        <f>+H14</f>
        <v>0.32571620286667535</v>
      </c>
      <c r="E14" s="158" t="s">
        <v>597</v>
      </c>
      <c r="F14" s="201">
        <f t="shared" si="0"/>
        <v>6990</v>
      </c>
      <c r="G14" s="130">
        <v>6990</v>
      </c>
      <c r="H14" s="131">
        <f t="shared" si="1"/>
        <v>0.32571620286667535</v>
      </c>
      <c r="I14" s="244"/>
    </row>
    <row r="15" spans="1:9" x14ac:dyDescent="0.2">
      <c r="A15" s="157">
        <v>12</v>
      </c>
      <c r="B15" s="164" t="s">
        <v>346</v>
      </c>
      <c r="C15" s="159" t="s">
        <v>20</v>
      </c>
      <c r="D15" s="160">
        <v>0.14512086706966854</v>
      </c>
      <c r="E15" s="158" t="s">
        <v>347</v>
      </c>
      <c r="F15" s="201">
        <f t="shared" si="0"/>
        <v>3114.3518556619147</v>
      </c>
      <c r="G15" s="130"/>
      <c r="H15" s="162">
        <f t="shared" si="1"/>
        <v>0</v>
      </c>
      <c r="I15" s="244"/>
    </row>
    <row r="16" spans="1:9" x14ac:dyDescent="0.2">
      <c r="A16" s="157">
        <v>13</v>
      </c>
      <c r="B16" s="158" t="s">
        <v>254</v>
      </c>
      <c r="C16" s="159" t="s">
        <v>20</v>
      </c>
      <c r="D16" s="160">
        <v>0.10923539054403339</v>
      </c>
      <c r="E16" s="158"/>
      <c r="F16" s="201">
        <f t="shared" si="0"/>
        <v>2344.2351752311743</v>
      </c>
      <c r="G16" s="130"/>
      <c r="H16" s="162">
        <f t="shared" si="1"/>
        <v>0</v>
      </c>
      <c r="I16" s="244"/>
    </row>
    <row r="17" spans="1:9" x14ac:dyDescent="0.2">
      <c r="A17" s="157">
        <v>14</v>
      </c>
      <c r="B17" s="158" t="s">
        <v>162</v>
      </c>
      <c r="C17" s="159" t="s">
        <v>17</v>
      </c>
      <c r="D17" s="160">
        <f>+H17</f>
        <v>7.4462731356358683E-2</v>
      </c>
      <c r="E17" s="158"/>
      <c r="F17" s="201">
        <f t="shared" si="0"/>
        <v>1598</v>
      </c>
      <c r="G17" s="130">
        <v>1598</v>
      </c>
      <c r="H17" s="131">
        <f t="shared" si="1"/>
        <v>7.4462731356358683E-2</v>
      </c>
      <c r="I17" s="243"/>
    </row>
    <row r="18" spans="1:9" s="38" customFormat="1" x14ac:dyDescent="0.2">
      <c r="A18" s="157">
        <v>15</v>
      </c>
      <c r="B18" s="163" t="s">
        <v>407</v>
      </c>
      <c r="C18" s="165" t="s">
        <v>19</v>
      </c>
      <c r="D18" s="166">
        <v>0.27560045971687797</v>
      </c>
      <c r="E18" s="163" t="s">
        <v>513</v>
      </c>
      <c r="F18" s="201">
        <f t="shared" si="0"/>
        <v>5914.4961057080882</v>
      </c>
      <c r="G18" s="132"/>
      <c r="H18" s="162">
        <f t="shared" si="1"/>
        <v>0</v>
      </c>
      <c r="I18" s="244"/>
    </row>
    <row r="19" spans="1:9" x14ac:dyDescent="0.2">
      <c r="A19" s="157">
        <v>16</v>
      </c>
      <c r="B19" s="158" t="s">
        <v>192</v>
      </c>
      <c r="C19" s="159" t="s">
        <v>20</v>
      </c>
      <c r="D19" s="160">
        <v>2.7464351367619433E-2</v>
      </c>
      <c r="E19" s="158" t="s">
        <v>512</v>
      </c>
      <c r="F19" s="201">
        <f t="shared" si="0"/>
        <v>589.39596608966008</v>
      </c>
      <c r="G19" s="130"/>
      <c r="H19" s="162">
        <f t="shared" si="1"/>
        <v>0</v>
      </c>
      <c r="I19" s="244"/>
    </row>
    <row r="20" spans="1:9" s="38" customFormat="1" x14ac:dyDescent="0.2">
      <c r="A20" s="157">
        <v>17</v>
      </c>
      <c r="B20" s="163" t="s">
        <v>13</v>
      </c>
      <c r="C20" s="165" t="s">
        <v>18</v>
      </c>
      <c r="D20" s="166">
        <f>+H20</f>
        <v>4.202158394065348E-2</v>
      </c>
      <c r="E20" s="163" t="s">
        <v>21</v>
      </c>
      <c r="F20" s="201">
        <f t="shared" si="0"/>
        <v>901.8</v>
      </c>
      <c r="G20" s="132">
        <f>45090/50</f>
        <v>901.8</v>
      </c>
      <c r="H20" s="131">
        <f t="shared" si="1"/>
        <v>4.202158394065348E-2</v>
      </c>
      <c r="I20" s="243"/>
    </row>
    <row r="21" spans="1:9" x14ac:dyDescent="0.2">
      <c r="A21" s="157">
        <v>18</v>
      </c>
      <c r="B21" s="158" t="s">
        <v>0</v>
      </c>
      <c r="C21" s="159" t="s">
        <v>18</v>
      </c>
      <c r="D21" s="160">
        <f>+H21</f>
        <v>4.7054108963486233E-2</v>
      </c>
      <c r="E21" s="163" t="s">
        <v>21</v>
      </c>
      <c r="F21" s="201">
        <f t="shared" si="0"/>
        <v>1009.8000000000001</v>
      </c>
      <c r="G21" s="130">
        <f>50490/50</f>
        <v>1009.8</v>
      </c>
      <c r="H21" s="131">
        <f t="shared" si="1"/>
        <v>4.7054108963486233E-2</v>
      </c>
      <c r="I21" s="243"/>
    </row>
    <row r="22" spans="1:9" ht="12" customHeight="1" x14ac:dyDescent="0.2">
      <c r="A22" s="157">
        <v>19</v>
      </c>
      <c r="B22" s="158" t="s">
        <v>352</v>
      </c>
      <c r="C22" s="159" t="s">
        <v>568</v>
      </c>
      <c r="D22" s="160">
        <v>6.3636911705459666E-3</v>
      </c>
      <c r="E22" s="158"/>
      <c r="F22" s="201">
        <f t="shared" si="0"/>
        <v>136.56735799638466</v>
      </c>
      <c r="G22" s="130"/>
      <c r="H22" s="162">
        <f t="shared" si="1"/>
        <v>0</v>
      </c>
      <c r="I22" s="244"/>
    </row>
    <row r="23" spans="1:9" ht="12" customHeight="1" x14ac:dyDescent="0.2">
      <c r="A23" s="157">
        <v>20</v>
      </c>
      <c r="B23" s="164" t="s">
        <v>135</v>
      </c>
      <c r="C23" s="168" t="s">
        <v>568</v>
      </c>
      <c r="D23" s="160">
        <v>4.8325775054522003E-3</v>
      </c>
      <c r="E23" s="158"/>
      <c r="F23" s="201">
        <f t="shared" si="0"/>
        <v>103.7090462980064</v>
      </c>
      <c r="G23" s="130"/>
      <c r="H23" s="162">
        <f t="shared" si="1"/>
        <v>0</v>
      </c>
      <c r="I23" s="244"/>
    </row>
    <row r="24" spans="1:9" ht="13.5" customHeight="1" x14ac:dyDescent="0.2">
      <c r="A24" s="157">
        <v>21</v>
      </c>
      <c r="B24" s="158" t="s">
        <v>84</v>
      </c>
      <c r="C24" s="159" t="s">
        <v>38</v>
      </c>
      <c r="D24" s="160">
        <v>0.13024035613703849</v>
      </c>
      <c r="E24" s="158"/>
      <c r="F24" s="201">
        <f t="shared" si="0"/>
        <v>2795.0101388433009</v>
      </c>
      <c r="G24" s="130"/>
      <c r="H24" s="162">
        <f t="shared" si="1"/>
        <v>0</v>
      </c>
      <c r="I24" s="244"/>
    </row>
    <row r="25" spans="1:9" x14ac:dyDescent="0.2">
      <c r="A25" s="157">
        <v>22</v>
      </c>
      <c r="B25" s="164" t="s">
        <v>306</v>
      </c>
      <c r="C25" s="159" t="s">
        <v>17</v>
      </c>
      <c r="D25" s="160">
        <v>0.1005271815738126</v>
      </c>
      <c r="E25" s="158" t="s">
        <v>412</v>
      </c>
      <c r="F25" s="201">
        <f t="shared" si="0"/>
        <v>2157.3535274466481</v>
      </c>
      <c r="G25" s="130"/>
      <c r="H25" s="162">
        <f t="shared" si="1"/>
        <v>0</v>
      </c>
      <c r="I25" s="244"/>
    </row>
    <row r="26" spans="1:9" x14ac:dyDescent="0.2">
      <c r="A26" s="157">
        <v>23</v>
      </c>
      <c r="B26" s="158" t="s">
        <v>22</v>
      </c>
      <c r="C26" s="159" t="s">
        <v>6</v>
      </c>
      <c r="D26" s="160">
        <v>0.328007463222171</v>
      </c>
      <c r="E26" s="158"/>
      <c r="F26" s="201">
        <f>D26*$F$1</f>
        <v>7039.1713637330795</v>
      </c>
      <c r="G26" s="130"/>
      <c r="H26" s="162">
        <f t="shared" si="1"/>
        <v>0</v>
      </c>
      <c r="I26" s="278" t="s">
        <v>681</v>
      </c>
    </row>
    <row r="27" spans="1:9" x14ac:dyDescent="0.2">
      <c r="A27" s="157">
        <v>25</v>
      </c>
      <c r="B27" s="158" t="s">
        <v>41</v>
      </c>
      <c r="C27" s="159" t="s">
        <v>6</v>
      </c>
      <c r="D27" s="160">
        <v>0.328007463222171</v>
      </c>
      <c r="E27" s="158"/>
      <c r="F27" s="201">
        <f>D27*$F$1</f>
        <v>7039.1713637330795</v>
      </c>
      <c r="G27" s="130"/>
      <c r="H27" s="162">
        <f>+G27/$F$1</f>
        <v>0</v>
      </c>
      <c r="I27" s="244"/>
    </row>
    <row r="28" spans="1:9" x14ac:dyDescent="0.2">
      <c r="A28" s="157">
        <v>24</v>
      </c>
      <c r="B28" s="158" t="s">
        <v>9</v>
      </c>
      <c r="C28" s="159" t="s">
        <v>6</v>
      </c>
      <c r="D28" s="160">
        <v>0.31100746322217132</v>
      </c>
      <c r="E28" s="158"/>
      <c r="F28" s="201">
        <f t="shared" si="0"/>
        <v>6674.344563733086</v>
      </c>
      <c r="G28" s="130"/>
      <c r="H28" s="162">
        <f t="shared" si="1"/>
        <v>0</v>
      </c>
      <c r="I28" s="244"/>
    </row>
    <row r="29" spans="1:9" x14ac:dyDescent="0.2">
      <c r="A29" s="157">
        <v>29</v>
      </c>
      <c r="B29" s="158" t="s">
        <v>580</v>
      </c>
      <c r="C29" s="159" t="s">
        <v>568</v>
      </c>
      <c r="D29" s="160">
        <f t="shared" ref="D29:D34" si="2">+H29</f>
        <v>0.13233676911893533</v>
      </c>
      <c r="E29" s="158" t="s">
        <v>581</v>
      </c>
      <c r="F29" s="201">
        <f>D29*$F$1</f>
        <v>2840</v>
      </c>
      <c r="G29" s="130">
        <f>12780/4.5</f>
        <v>2840</v>
      </c>
      <c r="H29" s="131">
        <f>+G29/$F$1</f>
        <v>0.13233676911893533</v>
      </c>
      <c r="I29" s="243"/>
    </row>
    <row r="30" spans="1:9" x14ac:dyDescent="0.2">
      <c r="A30" s="157">
        <v>30</v>
      </c>
      <c r="B30" s="158" t="s">
        <v>582</v>
      </c>
      <c r="C30" s="159" t="s">
        <v>568</v>
      </c>
      <c r="D30" s="160">
        <f t="shared" si="2"/>
        <v>0.17075378112451045</v>
      </c>
      <c r="E30" s="158" t="s">
        <v>581</v>
      </c>
      <c r="F30" s="201">
        <f>D30*$F$1</f>
        <v>3664.4444444444443</v>
      </c>
      <c r="G30" s="133">
        <f>16490/4.5</f>
        <v>3664.4444444444443</v>
      </c>
      <c r="H30" s="131">
        <f>+G30/$F$1</f>
        <v>0.17075378112451045</v>
      </c>
      <c r="I30" s="243"/>
    </row>
    <row r="31" spans="1:9" x14ac:dyDescent="0.2">
      <c r="A31" s="157">
        <v>31</v>
      </c>
      <c r="B31" s="158" t="s">
        <v>583</v>
      </c>
      <c r="C31" s="159" t="s">
        <v>568</v>
      </c>
      <c r="D31" s="160">
        <f t="shared" si="2"/>
        <v>0.19767675449768982</v>
      </c>
      <c r="E31" s="158" t="s">
        <v>581</v>
      </c>
      <c r="F31" s="201">
        <f>D31*$F$1</f>
        <v>4242.2222222222226</v>
      </c>
      <c r="G31" s="133">
        <f>19090/4.5</f>
        <v>4242.2222222222226</v>
      </c>
      <c r="H31" s="131">
        <f>+G31/$F$1</f>
        <v>0.19767675449768982</v>
      </c>
      <c r="I31" s="243"/>
    </row>
    <row r="32" spans="1:9" x14ac:dyDescent="0.2">
      <c r="A32" s="157">
        <v>26</v>
      </c>
      <c r="B32" s="158" t="s">
        <v>579</v>
      </c>
      <c r="C32" s="159" t="s">
        <v>568</v>
      </c>
      <c r="D32" s="160">
        <f t="shared" si="2"/>
        <v>0.10607773332441585</v>
      </c>
      <c r="E32" s="158" t="s">
        <v>585</v>
      </c>
      <c r="F32" s="201">
        <f t="shared" si="0"/>
        <v>2276.4705882352941</v>
      </c>
      <c r="G32" s="133">
        <f>7740/3.4</f>
        <v>2276.4705882352941</v>
      </c>
      <c r="H32" s="131">
        <f t="shared" si="1"/>
        <v>0.10607773332441585</v>
      </c>
      <c r="I32" s="243"/>
    </row>
    <row r="33" spans="1:9" x14ac:dyDescent="0.2">
      <c r="A33" s="157">
        <v>27</v>
      </c>
      <c r="B33" s="158" t="s">
        <v>578</v>
      </c>
      <c r="C33" s="159" t="s">
        <v>568</v>
      </c>
      <c r="D33" s="160">
        <f t="shared" si="2"/>
        <v>0.13568082169402029</v>
      </c>
      <c r="E33" s="158" t="s">
        <v>585</v>
      </c>
      <c r="F33" s="201">
        <f t="shared" si="0"/>
        <v>2911.7647058823532</v>
      </c>
      <c r="G33" s="133">
        <f>9900/3.4</f>
        <v>2911.7647058823532</v>
      </c>
      <c r="H33" s="131">
        <f t="shared" si="1"/>
        <v>0.13568082169402029</v>
      </c>
      <c r="I33" s="243"/>
    </row>
    <row r="34" spans="1:9" x14ac:dyDescent="0.2">
      <c r="A34" s="157">
        <v>28</v>
      </c>
      <c r="B34" s="158" t="s">
        <v>584</v>
      </c>
      <c r="C34" s="159" t="s">
        <v>568</v>
      </c>
      <c r="D34" s="160">
        <f t="shared" si="2"/>
        <v>0.14458915847191051</v>
      </c>
      <c r="E34" s="158" t="s">
        <v>585</v>
      </c>
      <c r="F34" s="201">
        <f t="shared" si="0"/>
        <v>3102.9411764705883</v>
      </c>
      <c r="G34" s="133">
        <f>10550/3.4</f>
        <v>3102.9411764705883</v>
      </c>
      <c r="H34" s="131">
        <f t="shared" si="1"/>
        <v>0.14458915847191051</v>
      </c>
      <c r="I34" s="243"/>
    </row>
    <row r="35" spans="1:9" x14ac:dyDescent="0.2">
      <c r="A35" s="157">
        <v>32</v>
      </c>
      <c r="B35" s="169" t="s">
        <v>124</v>
      </c>
      <c r="C35" s="159" t="s">
        <v>279</v>
      </c>
      <c r="D35" s="160">
        <v>6.0312002687104487</v>
      </c>
      <c r="E35" s="158" t="s">
        <v>505</v>
      </c>
      <c r="F35" s="201">
        <f t="shared" si="0"/>
        <v>129431.97024663372</v>
      </c>
      <c r="G35" s="130"/>
      <c r="H35" s="162">
        <f t="shared" si="1"/>
        <v>0</v>
      </c>
      <c r="I35" s="244"/>
    </row>
    <row r="36" spans="1:9" x14ac:dyDescent="0.2">
      <c r="A36" s="157">
        <v>33</v>
      </c>
      <c r="B36" s="169" t="s">
        <v>328</v>
      </c>
      <c r="C36" s="159" t="s">
        <v>17</v>
      </c>
      <c r="D36" s="160">
        <v>0.89622781440222932</v>
      </c>
      <c r="E36" s="158"/>
      <c r="F36" s="201">
        <f t="shared" si="0"/>
        <v>19233.407388197604</v>
      </c>
      <c r="G36" s="130"/>
      <c r="H36" s="162">
        <f t="shared" ref="H36:H67" si="3">+G36/$F$1</f>
        <v>0</v>
      </c>
      <c r="I36" s="244"/>
    </row>
    <row r="37" spans="1:9" x14ac:dyDescent="0.2">
      <c r="A37" s="157">
        <v>34</v>
      </c>
      <c r="B37" s="164" t="s">
        <v>549</v>
      </c>
      <c r="C37" s="159" t="s">
        <v>17</v>
      </c>
      <c r="D37" s="160">
        <f>+H37</f>
        <v>5.0791224767478702E-2</v>
      </c>
      <c r="E37" s="158"/>
      <c r="F37" s="201">
        <f t="shared" si="0"/>
        <v>1090</v>
      </c>
      <c r="G37" s="130">
        <v>1090</v>
      </c>
      <c r="H37" s="131">
        <f t="shared" si="3"/>
        <v>5.0791224767478702E-2</v>
      </c>
      <c r="I37" s="244"/>
    </row>
    <row r="38" spans="1:9" x14ac:dyDescent="0.2">
      <c r="A38" s="157">
        <v>35</v>
      </c>
      <c r="B38" s="164" t="s">
        <v>544</v>
      </c>
      <c r="C38" s="159" t="s">
        <v>17</v>
      </c>
      <c r="D38" s="160">
        <f>+H38</f>
        <v>0.10996999123967865</v>
      </c>
      <c r="E38" s="158"/>
      <c r="F38" s="201">
        <f t="shared" si="0"/>
        <v>2360</v>
      </c>
      <c r="G38" s="130">
        <v>2360</v>
      </c>
      <c r="H38" s="131">
        <f t="shared" si="3"/>
        <v>0.10996999123967865</v>
      </c>
      <c r="I38" s="244"/>
    </row>
    <row r="39" spans="1:9" x14ac:dyDescent="0.2">
      <c r="A39" s="157">
        <v>36</v>
      </c>
      <c r="B39" s="158" t="s">
        <v>32</v>
      </c>
      <c r="C39" s="159" t="s">
        <v>20</v>
      </c>
      <c r="D39" s="160">
        <f>+H39</f>
        <v>3.0395519188831519E-2</v>
      </c>
      <c r="E39" s="158"/>
      <c r="F39" s="201">
        <f t="shared" si="0"/>
        <v>652.29999999999995</v>
      </c>
      <c r="G39" s="134">
        <v>652.29999999999995</v>
      </c>
      <c r="H39" s="131">
        <f t="shared" si="3"/>
        <v>3.0395519188831519E-2</v>
      </c>
      <c r="I39" s="243"/>
    </row>
    <row r="40" spans="1:9" x14ac:dyDescent="0.2">
      <c r="A40" s="157">
        <v>37</v>
      </c>
      <c r="B40" s="164" t="s">
        <v>206</v>
      </c>
      <c r="C40" s="159" t="s">
        <v>17</v>
      </c>
      <c r="D40" s="160">
        <v>8.8039035742891569E-2</v>
      </c>
      <c r="E40" s="158"/>
      <c r="F40" s="201">
        <f t="shared" si="0"/>
        <v>1889.3529226567503</v>
      </c>
      <c r="G40" s="130"/>
      <c r="H40" s="162">
        <f t="shared" si="3"/>
        <v>0</v>
      </c>
      <c r="I40" s="244"/>
    </row>
    <row r="41" spans="1:9" x14ac:dyDescent="0.2">
      <c r="A41" s="157">
        <v>39</v>
      </c>
      <c r="B41" s="158" t="s">
        <v>525</v>
      </c>
      <c r="C41" s="159" t="s">
        <v>17</v>
      </c>
      <c r="D41" s="160">
        <f>+H41</f>
        <v>3.4948090436338557E-2</v>
      </c>
      <c r="E41" s="158"/>
      <c r="F41" s="201">
        <f>D41*$F$1</f>
        <v>750</v>
      </c>
      <c r="G41" s="130">
        <v>750</v>
      </c>
      <c r="H41" s="131">
        <f>+G41/$F$1</f>
        <v>3.4948090436338557E-2</v>
      </c>
      <c r="I41" s="244"/>
    </row>
    <row r="42" spans="1:9" x14ac:dyDescent="0.2">
      <c r="A42" s="157">
        <v>38</v>
      </c>
      <c r="B42" s="158" t="s">
        <v>656</v>
      </c>
      <c r="C42" s="159" t="s">
        <v>17</v>
      </c>
      <c r="D42" s="160">
        <f>+H42</f>
        <v>4.1005759445303908E-2</v>
      </c>
      <c r="E42" s="158"/>
      <c r="F42" s="201">
        <f t="shared" si="0"/>
        <v>880</v>
      </c>
      <c r="G42" s="130">
        <v>880</v>
      </c>
      <c r="H42" s="131">
        <f t="shared" si="3"/>
        <v>4.1005759445303908E-2</v>
      </c>
      <c r="I42" s="244"/>
    </row>
    <row r="43" spans="1:9" x14ac:dyDescent="0.2">
      <c r="A43" s="157">
        <v>40</v>
      </c>
      <c r="B43" s="158" t="s">
        <v>281</v>
      </c>
      <c r="C43" s="159" t="s">
        <v>6</v>
      </c>
      <c r="D43" s="160">
        <v>0.31100746322217132</v>
      </c>
      <c r="E43" s="158"/>
      <c r="F43" s="201">
        <f t="shared" si="0"/>
        <v>6674.344563733086</v>
      </c>
      <c r="G43" s="130"/>
      <c r="H43" s="162">
        <f t="shared" si="3"/>
        <v>0</v>
      </c>
      <c r="I43" s="278" t="s">
        <v>681</v>
      </c>
    </row>
    <row r="44" spans="1:9" x14ac:dyDescent="0.2">
      <c r="A44" s="157">
        <v>41</v>
      </c>
      <c r="B44" s="158" t="s">
        <v>99</v>
      </c>
      <c r="C44" s="159" t="s">
        <v>6</v>
      </c>
      <c r="D44" s="160">
        <v>0.2010543631476252</v>
      </c>
      <c r="E44" s="158"/>
      <c r="F44" s="201">
        <f t="shared" si="0"/>
        <v>4314.7070548932961</v>
      </c>
      <c r="G44" s="130"/>
      <c r="H44" s="162">
        <f t="shared" si="3"/>
        <v>0</v>
      </c>
      <c r="I44" s="244"/>
    </row>
    <row r="45" spans="1:9" x14ac:dyDescent="0.2">
      <c r="A45" s="157">
        <v>42</v>
      </c>
      <c r="B45" s="158" t="s">
        <v>320</v>
      </c>
      <c r="C45" s="159" t="s">
        <v>17</v>
      </c>
      <c r="D45" s="160">
        <v>6.8278100002775149E-2</v>
      </c>
      <c r="E45" s="158"/>
      <c r="F45" s="201">
        <f t="shared" si="0"/>
        <v>1465.275337299556</v>
      </c>
      <c r="G45" s="130"/>
      <c r="H45" s="162">
        <f t="shared" si="3"/>
        <v>0</v>
      </c>
      <c r="I45" s="244"/>
    </row>
    <row r="46" spans="1:9" x14ac:dyDescent="0.2">
      <c r="A46" s="157">
        <v>43</v>
      </c>
      <c r="B46" s="158" t="s">
        <v>112</v>
      </c>
      <c r="C46" s="159" t="s">
        <v>17</v>
      </c>
      <c r="D46" s="160">
        <v>0.12674750308854335</v>
      </c>
      <c r="E46" s="158"/>
      <c r="F46" s="201">
        <f t="shared" si="0"/>
        <v>2720.0521152813758</v>
      </c>
      <c r="G46" s="130"/>
      <c r="H46" s="162">
        <f t="shared" si="3"/>
        <v>0</v>
      </c>
      <c r="I46" s="244"/>
    </row>
    <row r="47" spans="1:9" x14ac:dyDescent="0.2">
      <c r="A47" s="157">
        <v>44</v>
      </c>
      <c r="B47" s="158" t="s">
        <v>157</v>
      </c>
      <c r="C47" s="159" t="s">
        <v>568</v>
      </c>
      <c r="D47" s="160">
        <f>+H47</f>
        <v>0.15320101685154128</v>
      </c>
      <c r="E47" s="158" t="s">
        <v>552</v>
      </c>
      <c r="F47" s="201">
        <f t="shared" si="0"/>
        <v>3287.7551020408168</v>
      </c>
      <c r="G47" s="130">
        <f>3222/0.98</f>
        <v>3287.7551020408164</v>
      </c>
      <c r="H47" s="131">
        <f t="shared" si="3"/>
        <v>0.15320101685154128</v>
      </c>
      <c r="I47" s="243"/>
    </row>
    <row r="48" spans="1:9" x14ac:dyDescent="0.2">
      <c r="A48" s="157">
        <v>45</v>
      </c>
      <c r="B48" s="158" t="s">
        <v>551</v>
      </c>
      <c r="C48" s="159" t="s">
        <v>568</v>
      </c>
      <c r="D48" s="160">
        <f>+H48</f>
        <v>7.3693873366759241E-2</v>
      </c>
      <c r="E48" s="158" t="s">
        <v>539</v>
      </c>
      <c r="F48" s="201">
        <f t="shared" si="0"/>
        <v>1581.5000000000002</v>
      </c>
      <c r="G48" s="130">
        <f>3163/2</f>
        <v>1581.5</v>
      </c>
      <c r="H48" s="131">
        <f t="shared" si="3"/>
        <v>7.3693873366759241E-2</v>
      </c>
      <c r="I48" s="243"/>
    </row>
    <row r="49" spans="1:9" x14ac:dyDescent="0.2">
      <c r="A49" s="157">
        <v>46</v>
      </c>
      <c r="B49" s="158" t="s">
        <v>113</v>
      </c>
      <c r="C49" s="159" t="s">
        <v>568</v>
      </c>
      <c r="D49" s="160">
        <v>9.8517594888377025E-2</v>
      </c>
      <c r="E49" s="163"/>
      <c r="F49" s="201">
        <f t="shared" si="0"/>
        <v>2114.2269933425264</v>
      </c>
      <c r="G49" s="130">
        <f>6990/2</f>
        <v>3495</v>
      </c>
      <c r="H49" s="162">
        <f t="shared" si="3"/>
        <v>0.16285810143333768</v>
      </c>
      <c r="I49" s="244"/>
    </row>
    <row r="50" spans="1:9" x14ac:dyDescent="0.2">
      <c r="A50" s="157">
        <v>47</v>
      </c>
      <c r="B50" s="158" t="s">
        <v>55</v>
      </c>
      <c r="C50" s="159" t="s">
        <v>17</v>
      </c>
      <c r="D50" s="160">
        <v>2.631601611879911</v>
      </c>
      <c r="E50" s="158"/>
      <c r="F50" s="201">
        <f t="shared" si="0"/>
        <v>56475.223231587646</v>
      </c>
      <c r="G50" s="130"/>
      <c r="H50" s="162">
        <f t="shared" si="3"/>
        <v>0</v>
      </c>
      <c r="I50" s="244"/>
    </row>
    <row r="51" spans="1:9" x14ac:dyDescent="0.2">
      <c r="A51" s="157">
        <v>48</v>
      </c>
      <c r="B51" s="158" t="s">
        <v>321</v>
      </c>
      <c r="C51" s="159" t="s">
        <v>17</v>
      </c>
      <c r="D51" s="160">
        <v>3.0143800281533526</v>
      </c>
      <c r="E51" s="158"/>
      <c r="F51" s="201">
        <f t="shared" si="0"/>
        <v>64689.801156182213</v>
      </c>
      <c r="G51" s="130"/>
      <c r="H51" s="162">
        <f t="shared" si="3"/>
        <v>0</v>
      </c>
      <c r="I51" s="244"/>
    </row>
    <row r="52" spans="1:9" x14ac:dyDescent="0.2">
      <c r="A52" s="157">
        <v>49</v>
      </c>
      <c r="B52" s="158" t="s">
        <v>139</v>
      </c>
      <c r="C52" s="159" t="s">
        <v>650</v>
      </c>
      <c r="D52" s="160">
        <v>0.48254004101470732</v>
      </c>
      <c r="E52" s="158"/>
      <c r="F52" s="201">
        <f t="shared" si="0"/>
        <v>10355.502296192026</v>
      </c>
      <c r="G52" s="130"/>
      <c r="H52" s="162">
        <f t="shared" si="3"/>
        <v>0</v>
      </c>
      <c r="I52" s="244"/>
    </row>
    <row r="53" spans="1:9" x14ac:dyDescent="0.2">
      <c r="A53" s="157">
        <v>50</v>
      </c>
      <c r="B53" s="158" t="s">
        <v>163</v>
      </c>
      <c r="C53" s="159" t="s">
        <v>568</v>
      </c>
      <c r="D53" s="160">
        <f>+H53</f>
        <v>4.6364466645542488E-2</v>
      </c>
      <c r="E53" s="158" t="s">
        <v>539</v>
      </c>
      <c r="F53" s="201">
        <f t="shared" si="0"/>
        <v>995.00000000000011</v>
      </c>
      <c r="G53" s="130">
        <f>1990/2</f>
        <v>995</v>
      </c>
      <c r="H53" s="131">
        <f t="shared" si="3"/>
        <v>4.6364466645542488E-2</v>
      </c>
      <c r="I53" s="244"/>
    </row>
    <row r="54" spans="1:9" x14ac:dyDescent="0.2">
      <c r="A54" s="157">
        <v>51</v>
      </c>
      <c r="B54" s="158" t="s">
        <v>541</v>
      </c>
      <c r="C54" s="159" t="s">
        <v>568</v>
      </c>
      <c r="D54" s="160">
        <f>+H54</f>
        <v>4.4151087584574374E-2</v>
      </c>
      <c r="E54" s="158" t="s">
        <v>540</v>
      </c>
      <c r="F54" s="201">
        <f t="shared" si="0"/>
        <v>947.5</v>
      </c>
      <c r="G54" s="130">
        <f>3790/4</f>
        <v>947.5</v>
      </c>
      <c r="H54" s="131">
        <f t="shared" si="3"/>
        <v>4.4151087584574374E-2</v>
      </c>
      <c r="I54" s="243"/>
    </row>
    <row r="55" spans="1:9" x14ac:dyDescent="0.2">
      <c r="A55" s="157">
        <v>52</v>
      </c>
      <c r="B55" s="158" t="s">
        <v>70</v>
      </c>
      <c r="C55" s="159" t="s">
        <v>568</v>
      </c>
      <c r="D55" s="160">
        <f>+H55</f>
        <v>0.30838195001025143</v>
      </c>
      <c r="E55" s="158"/>
      <c r="F55" s="201">
        <f t="shared" si="0"/>
        <v>6618</v>
      </c>
      <c r="G55" s="130">
        <v>6618</v>
      </c>
      <c r="H55" s="131">
        <f t="shared" si="3"/>
        <v>0.30838195001025143</v>
      </c>
      <c r="I55" s="244"/>
    </row>
    <row r="56" spans="1:9" x14ac:dyDescent="0.2">
      <c r="A56" s="157">
        <v>53</v>
      </c>
      <c r="B56" s="158" t="s">
        <v>68</v>
      </c>
      <c r="C56" s="159" t="s">
        <v>568</v>
      </c>
      <c r="D56" s="160">
        <f>+H56</f>
        <v>0.12977390915360384</v>
      </c>
      <c r="E56" s="158"/>
      <c r="F56" s="201">
        <f t="shared" si="0"/>
        <v>2785</v>
      </c>
      <c r="G56" s="130">
        <f>5570/2</f>
        <v>2785</v>
      </c>
      <c r="H56" s="131">
        <f t="shared" si="3"/>
        <v>0.12977390915360384</v>
      </c>
      <c r="I56" s="244"/>
    </row>
    <row r="57" spans="1:9" x14ac:dyDescent="0.2">
      <c r="A57" s="157">
        <v>54</v>
      </c>
      <c r="B57" s="158" t="s">
        <v>69</v>
      </c>
      <c r="C57" s="159" t="s">
        <v>568</v>
      </c>
      <c r="D57" s="160">
        <f>+H57</f>
        <v>0.22320180425341557</v>
      </c>
      <c r="E57" s="158"/>
      <c r="F57" s="201">
        <f t="shared" si="0"/>
        <v>4790</v>
      </c>
      <c r="G57" s="130">
        <v>4790</v>
      </c>
      <c r="H57" s="131">
        <f t="shared" si="3"/>
        <v>0.22320180425341557</v>
      </c>
      <c r="I57" s="244"/>
    </row>
    <row r="58" spans="1:9" x14ac:dyDescent="0.2">
      <c r="A58" s="157">
        <v>55</v>
      </c>
      <c r="B58" s="158" t="s">
        <v>185</v>
      </c>
      <c r="C58" s="159" t="s">
        <v>650</v>
      </c>
      <c r="D58" s="160">
        <v>0.57416762441016245</v>
      </c>
      <c r="E58" s="158"/>
      <c r="F58" s="201">
        <f t="shared" si="0"/>
        <v>12321.86688689185</v>
      </c>
      <c r="G58" s="130"/>
      <c r="H58" s="162">
        <f t="shared" si="3"/>
        <v>0</v>
      </c>
      <c r="I58" s="244"/>
    </row>
    <row r="59" spans="1:9" x14ac:dyDescent="0.2">
      <c r="A59" s="157">
        <v>56</v>
      </c>
      <c r="B59" s="164" t="s">
        <v>265</v>
      </c>
      <c r="C59" s="159" t="s">
        <v>17</v>
      </c>
      <c r="D59" s="160">
        <v>2.5741848494388948E-2</v>
      </c>
      <c r="E59" s="158"/>
      <c r="F59" s="201">
        <f t="shared" si="0"/>
        <v>552.4303654289846</v>
      </c>
      <c r="G59" s="130"/>
      <c r="H59" s="162">
        <f t="shared" si="3"/>
        <v>0</v>
      </c>
      <c r="I59" s="244"/>
    </row>
    <row r="60" spans="1:9" x14ac:dyDescent="0.2">
      <c r="A60" s="157">
        <v>57</v>
      </c>
      <c r="B60" s="158" t="s">
        <v>8</v>
      </c>
      <c r="C60" s="159" t="s">
        <v>19</v>
      </c>
      <c r="D60" s="160">
        <f t="shared" ref="D60:D66" si="4">+H60</f>
        <v>0.15330562338073847</v>
      </c>
      <c r="E60" s="158" t="s">
        <v>641</v>
      </c>
      <c r="F60" s="201">
        <f t="shared" si="0"/>
        <v>3290</v>
      </c>
      <c r="G60" s="130">
        <v>3290</v>
      </c>
      <c r="H60" s="131">
        <f t="shared" si="3"/>
        <v>0.15330562338073847</v>
      </c>
      <c r="I60" s="244"/>
    </row>
    <row r="61" spans="1:9" x14ac:dyDescent="0.2">
      <c r="A61" s="157">
        <v>58</v>
      </c>
      <c r="B61" s="158" t="s">
        <v>593</v>
      </c>
      <c r="C61" s="159" t="s">
        <v>38</v>
      </c>
      <c r="D61" s="160">
        <f>+F61/$F$1</f>
        <v>0.16775083409442507</v>
      </c>
      <c r="E61" s="158"/>
      <c r="F61" s="201">
        <v>3600</v>
      </c>
      <c r="G61" s="130">
        <v>3990</v>
      </c>
      <c r="H61" s="131">
        <f t="shared" si="3"/>
        <v>0.18592384112132113</v>
      </c>
      <c r="I61" s="244"/>
    </row>
    <row r="62" spans="1:9" x14ac:dyDescent="0.2">
      <c r="A62" s="157">
        <v>59</v>
      </c>
      <c r="B62" s="158" t="s">
        <v>248</v>
      </c>
      <c r="C62" s="159" t="s">
        <v>38</v>
      </c>
      <c r="D62" s="160">
        <f>+F62/$F$1</f>
        <v>0.17940019757320458</v>
      </c>
      <c r="E62" s="158"/>
      <c r="F62" s="201">
        <v>3850</v>
      </c>
      <c r="G62" s="130">
        <v>3735</v>
      </c>
      <c r="H62" s="131">
        <f t="shared" si="3"/>
        <v>0.17404149037296601</v>
      </c>
      <c r="I62" s="244"/>
    </row>
    <row r="63" spans="1:9" x14ac:dyDescent="0.2">
      <c r="A63" s="157">
        <v>60</v>
      </c>
      <c r="B63" s="158" t="s">
        <v>43</v>
      </c>
      <c r="C63" s="159" t="s">
        <v>38</v>
      </c>
      <c r="D63" s="160">
        <f>+F63/$F$1</f>
        <v>0.19570930644349591</v>
      </c>
      <c r="E63" s="158"/>
      <c r="F63" s="201">
        <v>4200</v>
      </c>
      <c r="G63" s="130">
        <v>4116</v>
      </c>
      <c r="H63" s="131">
        <f t="shared" si="3"/>
        <v>0.19179512031462601</v>
      </c>
      <c r="I63" s="244"/>
    </row>
    <row r="64" spans="1:9" x14ac:dyDescent="0.2">
      <c r="A64" s="157">
        <v>62</v>
      </c>
      <c r="B64" s="158" t="s">
        <v>647</v>
      </c>
      <c r="C64" s="159" t="s">
        <v>17</v>
      </c>
      <c r="D64" s="160">
        <f>+H64</f>
        <v>0.38765949055434362</v>
      </c>
      <c r="E64" s="163"/>
      <c r="F64" s="201">
        <f>D64*$F$1</f>
        <v>8319.3277310924368</v>
      </c>
      <c r="G64" s="133">
        <f>9900/1.19</f>
        <v>8319.3277310924368</v>
      </c>
      <c r="H64" s="131">
        <f>+G64/$F$1</f>
        <v>0.38765949055434362</v>
      </c>
      <c r="I64" s="244"/>
    </row>
    <row r="65" spans="1:9" x14ac:dyDescent="0.2">
      <c r="A65" s="157">
        <v>61</v>
      </c>
      <c r="B65" s="158" t="s">
        <v>213</v>
      </c>
      <c r="C65" s="159" t="s">
        <v>17</v>
      </c>
      <c r="D65" s="160">
        <f t="shared" si="4"/>
        <v>0.38765949055434362</v>
      </c>
      <c r="E65" s="163" t="s">
        <v>215</v>
      </c>
      <c r="F65" s="201">
        <f t="shared" si="0"/>
        <v>8319.3277310924368</v>
      </c>
      <c r="G65" s="133">
        <f>+G64</f>
        <v>8319.3277310924368</v>
      </c>
      <c r="H65" s="131">
        <f t="shared" si="3"/>
        <v>0.38765949055434362</v>
      </c>
      <c r="I65" s="244"/>
    </row>
    <row r="66" spans="1:9" x14ac:dyDescent="0.2">
      <c r="A66" s="157">
        <v>63</v>
      </c>
      <c r="B66" s="158" t="s">
        <v>214</v>
      </c>
      <c r="C66" s="159" t="s">
        <v>17</v>
      </c>
      <c r="D66" s="160">
        <f t="shared" si="4"/>
        <v>0.24230676035861398</v>
      </c>
      <c r="E66" s="158" t="s">
        <v>216</v>
      </c>
      <c r="F66" s="201">
        <f t="shared" si="0"/>
        <v>5200</v>
      </c>
      <c r="G66" s="130">
        <v>5200</v>
      </c>
      <c r="H66" s="131">
        <f t="shared" si="3"/>
        <v>0.24230676035861398</v>
      </c>
      <c r="I66" s="244"/>
    </row>
    <row r="67" spans="1:9" x14ac:dyDescent="0.2">
      <c r="A67" s="157">
        <v>64</v>
      </c>
      <c r="B67" s="158" t="s">
        <v>2</v>
      </c>
      <c r="C67" s="159" t="s">
        <v>17</v>
      </c>
      <c r="D67" s="160">
        <v>0.43383148754391188</v>
      </c>
      <c r="E67" s="158"/>
      <c r="F67" s="201">
        <f t="shared" si="0"/>
        <v>9310.1972552873667</v>
      </c>
      <c r="G67" s="130"/>
      <c r="H67" s="162">
        <f t="shared" si="3"/>
        <v>0</v>
      </c>
      <c r="I67" s="244"/>
    </row>
    <row r="68" spans="1:9" x14ac:dyDescent="0.2">
      <c r="A68" s="157">
        <v>66</v>
      </c>
      <c r="B68" s="158" t="s">
        <v>114</v>
      </c>
      <c r="C68" s="159" t="s">
        <v>18</v>
      </c>
      <c r="D68" s="160">
        <v>7.9857147095046752E-2</v>
      </c>
      <c r="E68" s="158"/>
      <c r="F68" s="201">
        <f t="shared" ref="F68:F131" si="5">D68*$F$1</f>
        <v>1713.7663195185414</v>
      </c>
      <c r="G68" s="130"/>
      <c r="H68" s="162">
        <f t="shared" ref="H68:H99" si="6">+G68/$F$1</f>
        <v>0</v>
      </c>
      <c r="I68" s="244"/>
    </row>
    <row r="69" spans="1:9" x14ac:dyDescent="0.2">
      <c r="A69" s="157">
        <v>67</v>
      </c>
      <c r="B69" s="158" t="s">
        <v>71</v>
      </c>
      <c r="C69" s="159" t="s">
        <v>18</v>
      </c>
      <c r="D69" s="160">
        <v>4.8230080450453641E-2</v>
      </c>
      <c r="E69" s="158"/>
      <c r="F69" s="201">
        <f t="shared" si="5"/>
        <v>1035.0368184989154</v>
      </c>
      <c r="G69" s="130"/>
      <c r="H69" s="162">
        <f t="shared" si="6"/>
        <v>0</v>
      </c>
      <c r="I69" s="244"/>
    </row>
    <row r="70" spans="1:9" x14ac:dyDescent="0.2">
      <c r="A70" s="157">
        <v>68</v>
      </c>
      <c r="B70" s="158" t="s">
        <v>72</v>
      </c>
      <c r="C70" s="159" t="s">
        <v>18</v>
      </c>
      <c r="D70" s="160">
        <v>5.7033984024742801E-2</v>
      </c>
      <c r="E70" s="158"/>
      <c r="F70" s="201">
        <f t="shared" si="5"/>
        <v>1223.9721107645905</v>
      </c>
      <c r="G70" s="130"/>
      <c r="H70" s="162">
        <f t="shared" si="6"/>
        <v>0</v>
      </c>
      <c r="I70" s="244"/>
    </row>
    <row r="71" spans="1:9" x14ac:dyDescent="0.2">
      <c r="A71" s="157">
        <v>69</v>
      </c>
      <c r="B71" s="158" t="s">
        <v>73</v>
      </c>
      <c r="C71" s="159" t="s">
        <v>18</v>
      </c>
      <c r="D71" s="160">
        <v>5.26798795396324E-2</v>
      </c>
      <c r="E71" s="158"/>
      <c r="F71" s="201">
        <f t="shared" si="5"/>
        <v>1130.5312868723272</v>
      </c>
      <c r="G71" s="130"/>
      <c r="H71" s="162">
        <f t="shared" si="6"/>
        <v>0</v>
      </c>
      <c r="I71" s="244"/>
    </row>
    <row r="72" spans="1:9" x14ac:dyDescent="0.2">
      <c r="A72" s="157">
        <v>70</v>
      </c>
      <c r="B72" s="158" t="s">
        <v>74</v>
      </c>
      <c r="C72" s="159" t="s">
        <v>18</v>
      </c>
      <c r="D72" s="160">
        <v>4.4115212475514143E-2</v>
      </c>
      <c r="E72" s="158"/>
      <c r="F72" s="201">
        <f t="shared" si="5"/>
        <v>946.73010580952382</v>
      </c>
      <c r="G72" s="130"/>
      <c r="H72" s="162">
        <f t="shared" si="6"/>
        <v>0</v>
      </c>
      <c r="I72" s="244"/>
    </row>
    <row r="73" spans="1:9" x14ac:dyDescent="0.2">
      <c r="A73" s="157">
        <v>71</v>
      </c>
      <c r="B73" s="158" t="s">
        <v>75</v>
      </c>
      <c r="C73" s="159" t="s">
        <v>18</v>
      </c>
      <c r="D73" s="160">
        <v>6.8373794606843508E-2</v>
      </c>
      <c r="E73" s="158"/>
      <c r="F73" s="201">
        <f t="shared" si="5"/>
        <v>1467.3289817807045</v>
      </c>
      <c r="G73" s="161"/>
      <c r="H73" s="162">
        <f t="shared" si="6"/>
        <v>0</v>
      </c>
      <c r="I73" s="244"/>
    </row>
    <row r="74" spans="1:9" x14ac:dyDescent="0.2">
      <c r="A74" s="157">
        <v>72</v>
      </c>
      <c r="B74" s="158" t="s">
        <v>76</v>
      </c>
      <c r="C74" s="159" t="s">
        <v>18</v>
      </c>
      <c r="D74" s="160">
        <v>6.9617824459732192E-2</v>
      </c>
      <c r="E74" s="158"/>
      <c r="F74" s="201">
        <f>D74*$F$1</f>
        <v>1494.0263600356368</v>
      </c>
      <c r="G74" s="130"/>
      <c r="H74" s="162">
        <f t="shared" si="6"/>
        <v>0</v>
      </c>
      <c r="I74" s="244"/>
    </row>
    <row r="75" spans="1:9" x14ac:dyDescent="0.2">
      <c r="A75" s="157">
        <v>65</v>
      </c>
      <c r="B75" s="275" t="s">
        <v>323</v>
      </c>
      <c r="C75" s="159" t="s">
        <v>17</v>
      </c>
      <c r="D75" s="160">
        <f>+H75</f>
        <v>3.0241747590911633E-3</v>
      </c>
      <c r="E75" s="158" t="s">
        <v>679</v>
      </c>
      <c r="F75" s="201">
        <f>D75*$F$1</f>
        <v>64.900000000000006</v>
      </c>
      <c r="G75" s="130">
        <f>649/10</f>
        <v>64.900000000000006</v>
      </c>
      <c r="H75" s="162">
        <f>+G75/$F$1</f>
        <v>3.0241747590911633E-3</v>
      </c>
      <c r="I75" s="244"/>
    </row>
    <row r="76" spans="1:9" x14ac:dyDescent="0.2">
      <c r="A76" s="157">
        <v>73</v>
      </c>
      <c r="B76" s="158" t="s">
        <v>282</v>
      </c>
      <c r="C76" s="159" t="s">
        <v>18</v>
      </c>
      <c r="D76" s="160">
        <v>0.12425944338276598</v>
      </c>
      <c r="E76" s="158"/>
      <c r="F76" s="201">
        <f t="shared" si="5"/>
        <v>2666.6573587715111</v>
      </c>
      <c r="G76" s="130"/>
      <c r="H76" s="162">
        <f t="shared" si="6"/>
        <v>0</v>
      </c>
      <c r="I76" s="244"/>
    </row>
    <row r="77" spans="1:9" x14ac:dyDescent="0.2">
      <c r="A77" s="157">
        <v>74</v>
      </c>
      <c r="B77" s="164" t="s">
        <v>324</v>
      </c>
      <c r="C77" s="159" t="s">
        <v>17</v>
      </c>
      <c r="D77" s="160">
        <v>1.181828360244251E-2</v>
      </c>
      <c r="E77" s="158" t="s">
        <v>318</v>
      </c>
      <c r="F77" s="201">
        <f t="shared" si="5"/>
        <v>253.62509342185726</v>
      </c>
      <c r="G77" s="130"/>
      <c r="H77" s="162">
        <f t="shared" si="6"/>
        <v>0</v>
      </c>
      <c r="I77" s="244"/>
    </row>
    <row r="78" spans="1:9" x14ac:dyDescent="0.2">
      <c r="A78" s="157">
        <v>75</v>
      </c>
      <c r="B78" s="158" t="s">
        <v>303</v>
      </c>
      <c r="C78" s="159" t="s">
        <v>17</v>
      </c>
      <c r="D78" s="160">
        <v>3.1914150456798192E-2</v>
      </c>
      <c r="E78" s="158"/>
      <c r="F78" s="201">
        <f t="shared" si="5"/>
        <v>684.89043446307198</v>
      </c>
      <c r="G78" s="130"/>
      <c r="H78" s="162">
        <f t="shared" si="6"/>
        <v>0</v>
      </c>
      <c r="I78" s="244"/>
    </row>
    <row r="79" spans="1:9" x14ac:dyDescent="0.2">
      <c r="A79" s="157">
        <v>76</v>
      </c>
      <c r="B79" s="158" t="s">
        <v>102</v>
      </c>
      <c r="C79" s="159" t="s">
        <v>17</v>
      </c>
      <c r="D79" s="160">
        <v>5.8708639595939104E-2</v>
      </c>
      <c r="E79" s="158"/>
      <c r="F79" s="201">
        <f t="shared" si="5"/>
        <v>1259.9108891846915</v>
      </c>
      <c r="G79" s="130"/>
      <c r="H79" s="162">
        <f t="shared" si="6"/>
        <v>0</v>
      </c>
      <c r="I79" s="244"/>
    </row>
    <row r="80" spans="1:9" x14ac:dyDescent="0.2">
      <c r="A80" s="157">
        <v>77</v>
      </c>
      <c r="B80" s="158" t="s">
        <v>90</v>
      </c>
      <c r="C80" s="159" t="s">
        <v>17</v>
      </c>
      <c r="D80" s="160">
        <f>+H80</f>
        <v>9.8320627760899136E-3</v>
      </c>
      <c r="E80" s="158"/>
      <c r="F80" s="201">
        <f t="shared" si="5"/>
        <v>211</v>
      </c>
      <c r="G80" s="130">
        <v>211</v>
      </c>
      <c r="H80" s="131">
        <f t="shared" si="6"/>
        <v>9.8320627760899136E-3</v>
      </c>
      <c r="I80" s="243"/>
    </row>
    <row r="81" spans="1:9" x14ac:dyDescent="0.2">
      <c r="A81" s="157">
        <v>78</v>
      </c>
      <c r="B81" s="158" t="s">
        <v>100</v>
      </c>
      <c r="C81" s="159" t="s">
        <v>17</v>
      </c>
      <c r="D81" s="160">
        <f>+H81</f>
        <v>1.6728485955527388E-2</v>
      </c>
      <c r="E81" s="158"/>
      <c r="F81" s="201">
        <f t="shared" si="5"/>
        <v>359</v>
      </c>
      <c r="G81" s="130">
        <v>359</v>
      </c>
      <c r="H81" s="131">
        <f t="shared" si="6"/>
        <v>1.6728485955527388E-2</v>
      </c>
      <c r="I81" s="243"/>
    </row>
    <row r="82" spans="1:9" x14ac:dyDescent="0.2">
      <c r="A82" s="157">
        <v>79</v>
      </c>
      <c r="B82" s="158" t="s">
        <v>101</v>
      </c>
      <c r="C82" s="159" t="s">
        <v>17</v>
      </c>
      <c r="D82" s="160">
        <v>2.6938031045243453E-2</v>
      </c>
      <c r="E82" s="158"/>
      <c r="F82" s="201">
        <f t="shared" si="5"/>
        <v>578.1009214433426</v>
      </c>
      <c r="G82" s="130"/>
      <c r="H82" s="162">
        <f t="shared" si="6"/>
        <v>0</v>
      </c>
      <c r="I82" s="244"/>
    </row>
    <row r="83" spans="1:9" x14ac:dyDescent="0.2">
      <c r="A83" s="157">
        <v>80</v>
      </c>
      <c r="B83" s="158" t="s">
        <v>546</v>
      </c>
      <c r="C83" s="159" t="s">
        <v>17</v>
      </c>
      <c r="D83" s="160">
        <f>+H83</f>
        <v>6.0110715550502319E-2</v>
      </c>
      <c r="E83" s="158"/>
      <c r="F83" s="201">
        <f t="shared" si="5"/>
        <v>1290</v>
      </c>
      <c r="G83" s="130">
        <v>1290</v>
      </c>
      <c r="H83" s="131">
        <f t="shared" si="6"/>
        <v>6.0110715550502319E-2</v>
      </c>
      <c r="I83" s="243"/>
    </row>
    <row r="84" spans="1:9" x14ac:dyDescent="0.2">
      <c r="A84" s="157">
        <v>81</v>
      </c>
      <c r="B84" s="158" t="s">
        <v>353</v>
      </c>
      <c r="C84" s="159" t="s">
        <v>568</v>
      </c>
      <c r="D84" s="160">
        <v>1.7225028732304872E-3</v>
      </c>
      <c r="E84" s="158"/>
      <c r="F84" s="201">
        <f t="shared" si="5"/>
        <v>36.965600660675548</v>
      </c>
      <c r="G84" s="130"/>
      <c r="H84" s="162">
        <f t="shared" si="6"/>
        <v>0</v>
      </c>
      <c r="I84" s="244"/>
    </row>
    <row r="85" spans="1:9" x14ac:dyDescent="0.2">
      <c r="A85" s="157">
        <v>82</v>
      </c>
      <c r="B85" s="163" t="s">
        <v>574</v>
      </c>
      <c r="C85" s="165" t="s">
        <v>568</v>
      </c>
      <c r="D85" s="166">
        <f>+H85</f>
        <v>5.8868116779432496E-2</v>
      </c>
      <c r="E85" s="163" t="s">
        <v>590</v>
      </c>
      <c r="F85" s="201">
        <f t="shared" si="5"/>
        <v>1263.3333333333333</v>
      </c>
      <c r="G85" s="134">
        <f>3790/3</f>
        <v>1263.3333333333333</v>
      </c>
      <c r="H85" s="131">
        <f t="shared" si="6"/>
        <v>5.8868116779432496E-2</v>
      </c>
      <c r="I85" s="243"/>
    </row>
    <row r="86" spans="1:9" x14ac:dyDescent="0.2">
      <c r="A86" s="157">
        <v>83</v>
      </c>
      <c r="B86" s="164" t="s">
        <v>251</v>
      </c>
      <c r="C86" s="159" t="s">
        <v>17</v>
      </c>
      <c r="D86" s="160">
        <v>4.8469316960624544E-2</v>
      </c>
      <c r="E86" s="158" t="s">
        <v>467</v>
      </c>
      <c r="F86" s="201">
        <f t="shared" si="5"/>
        <v>1040.1709297017869</v>
      </c>
      <c r="G86" s="130"/>
      <c r="H86" s="162">
        <f t="shared" si="6"/>
        <v>0</v>
      </c>
      <c r="I86" s="244"/>
    </row>
    <row r="87" spans="1:9" s="38" customFormat="1" x14ac:dyDescent="0.2">
      <c r="A87" s="157">
        <v>84</v>
      </c>
      <c r="B87" s="170" t="s">
        <v>326</v>
      </c>
      <c r="C87" s="165" t="s">
        <v>38</v>
      </c>
      <c r="D87" s="166">
        <v>8.0048536303183468E-2</v>
      </c>
      <c r="E87" s="163"/>
      <c r="F87" s="201">
        <f t="shared" si="5"/>
        <v>1717.8736084808386</v>
      </c>
      <c r="G87" s="132"/>
      <c r="H87" s="162">
        <f t="shared" si="6"/>
        <v>0</v>
      </c>
      <c r="I87" s="244"/>
    </row>
    <row r="88" spans="1:9" s="38" customFormat="1" x14ac:dyDescent="0.2">
      <c r="A88" s="157">
        <v>85</v>
      </c>
      <c r="B88" s="170" t="s">
        <v>502</v>
      </c>
      <c r="C88" s="165" t="s">
        <v>17</v>
      </c>
      <c r="D88" s="166">
        <v>6.3923995517664742E-2</v>
      </c>
      <c r="E88" s="163"/>
      <c r="F88" s="201">
        <f t="shared" si="5"/>
        <v>1371.8345134072924</v>
      </c>
      <c r="G88" s="132"/>
      <c r="H88" s="162">
        <f t="shared" si="6"/>
        <v>0</v>
      </c>
      <c r="I88" s="244"/>
    </row>
    <row r="89" spans="1:9" s="38" customFormat="1" x14ac:dyDescent="0.2">
      <c r="A89" s="157">
        <v>86</v>
      </c>
      <c r="B89" s="163" t="s">
        <v>12</v>
      </c>
      <c r="C89" s="165" t="s">
        <v>20</v>
      </c>
      <c r="D89" s="166">
        <v>8.0335620115388556E-2</v>
      </c>
      <c r="E89" s="163"/>
      <c r="F89" s="201">
        <f t="shared" si="5"/>
        <v>1724.0345419242847</v>
      </c>
      <c r="G89" s="132"/>
      <c r="H89" s="162">
        <f t="shared" si="6"/>
        <v>0</v>
      </c>
      <c r="I89" s="244"/>
    </row>
    <row r="90" spans="1:9" s="38" customFormat="1" x14ac:dyDescent="0.2">
      <c r="A90" s="157">
        <v>87</v>
      </c>
      <c r="B90" s="163" t="s">
        <v>24</v>
      </c>
      <c r="C90" s="165" t="s">
        <v>20</v>
      </c>
      <c r="D90" s="166">
        <f>+H90</f>
        <v>2.343851931930439E-2</v>
      </c>
      <c r="E90" s="163"/>
      <c r="F90" s="201">
        <f t="shared" si="5"/>
        <v>502.99999999999994</v>
      </c>
      <c r="G90" s="132">
        <v>503</v>
      </c>
      <c r="H90" s="162">
        <f t="shared" si="6"/>
        <v>2.343851931930439E-2</v>
      </c>
      <c r="I90" s="244"/>
    </row>
    <row r="91" spans="1:9" s="38" customFormat="1" x14ac:dyDescent="0.2">
      <c r="A91" s="157">
        <v>88</v>
      </c>
      <c r="B91" s="170" t="s">
        <v>509</v>
      </c>
      <c r="C91" s="165" t="s">
        <v>17</v>
      </c>
      <c r="D91" s="166">
        <v>7.1388174634996859E-2</v>
      </c>
      <c r="E91" s="163"/>
      <c r="F91" s="201">
        <f t="shared" si="5"/>
        <v>1532.0187829368867</v>
      </c>
      <c r="G91" s="132"/>
      <c r="H91" s="162">
        <f t="shared" si="6"/>
        <v>0</v>
      </c>
      <c r="I91" s="244"/>
    </row>
    <row r="92" spans="1:9" s="38" customFormat="1" x14ac:dyDescent="0.2">
      <c r="A92" s="157">
        <v>89</v>
      </c>
      <c r="B92" s="163" t="s">
        <v>573</v>
      </c>
      <c r="C92" s="165" t="s">
        <v>17</v>
      </c>
      <c r="D92" s="166">
        <v>0.92436202799832723</v>
      </c>
      <c r="E92" s="163"/>
      <c r="F92" s="201">
        <f t="shared" si="5"/>
        <v>19837.178865655304</v>
      </c>
      <c r="G92" s="132"/>
      <c r="H92" s="162">
        <f t="shared" si="6"/>
        <v>0</v>
      </c>
      <c r="I92" s="244"/>
    </row>
    <row r="93" spans="1:9" s="38" customFormat="1" x14ac:dyDescent="0.2">
      <c r="A93" s="157">
        <v>90</v>
      </c>
      <c r="B93" s="276" t="s">
        <v>520</v>
      </c>
      <c r="C93" s="165" t="s">
        <v>18</v>
      </c>
      <c r="D93" s="166">
        <f>+H93</f>
        <v>0.13932638720620305</v>
      </c>
      <c r="E93" s="163"/>
      <c r="F93" s="201">
        <f t="shared" si="5"/>
        <v>2990</v>
      </c>
      <c r="G93" s="132">
        <v>2990</v>
      </c>
      <c r="H93" s="162">
        <f t="shared" si="6"/>
        <v>0.13932638720620305</v>
      </c>
      <c r="I93" s="244"/>
    </row>
    <row r="94" spans="1:9" s="38" customFormat="1" x14ac:dyDescent="0.2">
      <c r="A94" s="157">
        <v>91</v>
      </c>
      <c r="B94" s="163" t="s">
        <v>507</v>
      </c>
      <c r="C94" s="165" t="s">
        <v>17</v>
      </c>
      <c r="D94" s="166">
        <v>0.15263289348903483</v>
      </c>
      <c r="E94" s="163"/>
      <c r="F94" s="201">
        <f t="shared" si="5"/>
        <v>3275.5629474320835</v>
      </c>
      <c r="G94" s="132"/>
      <c r="H94" s="162">
        <f t="shared" si="6"/>
        <v>0</v>
      </c>
      <c r="I94" s="244"/>
    </row>
    <row r="95" spans="1:9" s="38" customFormat="1" x14ac:dyDescent="0.2">
      <c r="A95" s="157">
        <v>92</v>
      </c>
      <c r="B95" s="276" t="s">
        <v>452</v>
      </c>
      <c r="C95" s="165" t="s">
        <v>17</v>
      </c>
      <c r="D95" s="166">
        <f>+F95/$F$1</f>
        <v>4.240368306275745E-2</v>
      </c>
      <c r="E95" s="163" t="s">
        <v>454</v>
      </c>
      <c r="F95" s="201">
        <v>910</v>
      </c>
      <c r="G95" s="132">
        <f>1620/2</f>
        <v>810</v>
      </c>
      <c r="H95" s="162">
        <f t="shared" si="6"/>
        <v>3.7743937671245641E-2</v>
      </c>
      <c r="I95" s="244"/>
    </row>
    <row r="96" spans="1:9" s="38" customFormat="1" x14ac:dyDescent="0.2">
      <c r="A96" s="157">
        <v>93</v>
      </c>
      <c r="B96" s="276" t="s">
        <v>453</v>
      </c>
      <c r="C96" s="165" t="s">
        <v>17</v>
      </c>
      <c r="D96" s="166">
        <f>+F96/$F$1</f>
        <v>5.1257199306629884E-2</v>
      </c>
      <c r="E96" s="163" t="s">
        <v>454</v>
      </c>
      <c r="F96" s="201">
        <v>1100</v>
      </c>
      <c r="G96" s="132">
        <v>980</v>
      </c>
      <c r="H96" s="162">
        <f t="shared" si="6"/>
        <v>4.5665504836815717E-2</v>
      </c>
      <c r="I96" s="244"/>
    </row>
    <row r="97" spans="1:9" s="38" customFormat="1" x14ac:dyDescent="0.2">
      <c r="A97" s="157">
        <v>94</v>
      </c>
      <c r="B97" s="163" t="s">
        <v>527</v>
      </c>
      <c r="C97" s="165" t="s">
        <v>568</v>
      </c>
      <c r="D97" s="166">
        <f>+F97/$F$1</f>
        <v>1.9104956105198412E-2</v>
      </c>
      <c r="E97" s="163" t="s">
        <v>524</v>
      </c>
      <c r="F97" s="201">
        <v>410</v>
      </c>
      <c r="G97" s="132">
        <f>+(1620+1800)/2/5</f>
        <v>342</v>
      </c>
      <c r="H97" s="131">
        <f t="shared" si="6"/>
        <v>1.5936329238970381E-2</v>
      </c>
      <c r="I97" s="244"/>
    </row>
    <row r="98" spans="1:9" s="38" customFormat="1" x14ac:dyDescent="0.2">
      <c r="A98" s="157">
        <v>95</v>
      </c>
      <c r="B98" s="170" t="s">
        <v>253</v>
      </c>
      <c r="C98" s="165" t="s">
        <v>38</v>
      </c>
      <c r="D98" s="166">
        <v>4.0191733708711368E-2</v>
      </c>
      <c r="E98" s="163"/>
      <c r="F98" s="201">
        <f t="shared" si="5"/>
        <v>862.53068208242951</v>
      </c>
      <c r="G98" s="132"/>
      <c r="H98" s="162">
        <f t="shared" si="6"/>
        <v>0</v>
      </c>
      <c r="I98" s="244"/>
    </row>
    <row r="99" spans="1:9" s="38" customFormat="1" x14ac:dyDescent="0.2">
      <c r="A99" s="157">
        <v>96</v>
      </c>
      <c r="B99" s="163" t="s">
        <v>4</v>
      </c>
      <c r="C99" s="165" t="s">
        <v>6</v>
      </c>
      <c r="D99" s="166">
        <v>0.26134196371069224</v>
      </c>
      <c r="E99" s="163"/>
      <c r="F99" s="201">
        <f t="shared" si="5"/>
        <v>5608.50307801694</v>
      </c>
      <c r="G99" s="132"/>
      <c r="H99" s="162">
        <f t="shared" si="6"/>
        <v>0</v>
      </c>
      <c r="I99" s="244"/>
    </row>
    <row r="100" spans="1:9" s="38" customFormat="1" x14ac:dyDescent="0.2">
      <c r="A100" s="157">
        <v>97</v>
      </c>
      <c r="B100" s="158" t="s">
        <v>642</v>
      </c>
      <c r="C100" s="165" t="s">
        <v>19</v>
      </c>
      <c r="D100" s="166">
        <f>+H100</f>
        <v>0.14864587798922665</v>
      </c>
      <c r="E100" s="163" t="s">
        <v>648</v>
      </c>
      <c r="F100" s="201">
        <f t="shared" si="5"/>
        <v>3190</v>
      </c>
      <c r="G100" s="132">
        <v>3190</v>
      </c>
      <c r="H100" s="131">
        <f t="shared" ref="H100:H131" si="7">+G100/$F$1</f>
        <v>0.14864587798922665</v>
      </c>
      <c r="I100" s="243"/>
    </row>
    <row r="101" spans="1:9" s="38" customFormat="1" x14ac:dyDescent="0.2">
      <c r="A101" s="157">
        <v>98</v>
      </c>
      <c r="B101" s="158" t="s">
        <v>645</v>
      </c>
      <c r="C101" s="165" t="s">
        <v>19</v>
      </c>
      <c r="D101" s="166">
        <f>+H101</f>
        <v>0.15330562338073847</v>
      </c>
      <c r="E101" s="163" t="s">
        <v>648</v>
      </c>
      <c r="F101" s="201">
        <f t="shared" si="5"/>
        <v>3290</v>
      </c>
      <c r="G101" s="132">
        <v>3290</v>
      </c>
      <c r="H101" s="131">
        <f t="shared" si="7"/>
        <v>0.15330562338073847</v>
      </c>
      <c r="I101" s="243"/>
    </row>
    <row r="102" spans="1:9" s="38" customFormat="1" x14ac:dyDescent="0.2">
      <c r="A102" s="157">
        <v>99</v>
      </c>
      <c r="B102" s="170" t="s">
        <v>325</v>
      </c>
      <c r="C102" s="165" t="s">
        <v>17</v>
      </c>
      <c r="D102" s="166">
        <v>0.19263323798960949</v>
      </c>
      <c r="E102" s="163"/>
      <c r="F102" s="201">
        <f t="shared" si="5"/>
        <v>4133.9863405522156</v>
      </c>
      <c r="G102" s="132"/>
      <c r="H102" s="162">
        <f t="shared" si="7"/>
        <v>0</v>
      </c>
      <c r="I102" s="244"/>
    </row>
    <row r="103" spans="1:9" s="38" customFormat="1" x14ac:dyDescent="0.2">
      <c r="A103" s="157">
        <v>100</v>
      </c>
      <c r="B103" s="163" t="s">
        <v>449</v>
      </c>
      <c r="C103" s="165" t="s">
        <v>18</v>
      </c>
      <c r="D103" s="166">
        <v>0.72010189561441196</v>
      </c>
      <c r="E103" s="163" t="s">
        <v>462</v>
      </c>
      <c r="F103" s="201">
        <f t="shared" si="5"/>
        <v>15453.674720643527</v>
      </c>
      <c r="G103" s="132"/>
      <c r="H103" s="162">
        <f t="shared" si="7"/>
        <v>0</v>
      </c>
      <c r="I103" s="244"/>
    </row>
    <row r="104" spans="1:9" s="38" customFormat="1" x14ac:dyDescent="0.2">
      <c r="A104" s="157">
        <v>101</v>
      </c>
      <c r="B104" s="163" t="s">
        <v>177</v>
      </c>
      <c r="C104" s="165" t="s">
        <v>38</v>
      </c>
      <c r="D104" s="166">
        <v>6.0478989771203771E-2</v>
      </c>
      <c r="E104" s="163"/>
      <c r="F104" s="201">
        <f t="shared" si="5"/>
        <v>1297.9033120859415</v>
      </c>
      <c r="G104" s="167"/>
      <c r="H104" s="162">
        <f t="shared" si="7"/>
        <v>0</v>
      </c>
      <c r="I104" s="244"/>
    </row>
    <row r="105" spans="1:9" s="38" customFormat="1" x14ac:dyDescent="0.2">
      <c r="A105" s="157">
        <v>102</v>
      </c>
      <c r="B105" s="163" t="s">
        <v>176</v>
      </c>
      <c r="C105" s="165" t="s">
        <v>38</v>
      </c>
      <c r="D105" s="166">
        <v>6.9809213667868908E-2</v>
      </c>
      <c r="E105" s="163"/>
      <c r="F105" s="201">
        <f t="shared" si="5"/>
        <v>1498.133648997934</v>
      </c>
      <c r="G105" s="167"/>
      <c r="H105" s="162">
        <f t="shared" si="7"/>
        <v>0</v>
      </c>
      <c r="I105" s="244"/>
    </row>
    <row r="106" spans="1:9" s="38" customFormat="1" x14ac:dyDescent="0.2">
      <c r="A106" s="157">
        <v>103</v>
      </c>
      <c r="B106" s="163" t="s">
        <v>179</v>
      </c>
      <c r="C106" s="165" t="s">
        <v>38</v>
      </c>
      <c r="D106" s="166">
        <v>0.10961816896030684</v>
      </c>
      <c r="E106" s="163"/>
      <c r="F106" s="201">
        <f t="shared" si="5"/>
        <v>2352.449753155769</v>
      </c>
      <c r="G106" s="167"/>
      <c r="H106" s="162">
        <f t="shared" si="7"/>
        <v>0</v>
      </c>
      <c r="I106" s="244"/>
    </row>
    <row r="107" spans="1:9" s="38" customFormat="1" x14ac:dyDescent="0.2">
      <c r="A107" s="157">
        <v>104</v>
      </c>
      <c r="B107" s="163" t="s">
        <v>178</v>
      </c>
      <c r="C107" s="165" t="s">
        <v>38</v>
      </c>
      <c r="D107" s="166">
        <v>0.11708234807763895</v>
      </c>
      <c r="E107" s="163"/>
      <c r="F107" s="201">
        <f t="shared" si="5"/>
        <v>2512.6340226853631</v>
      </c>
      <c r="G107" s="167"/>
      <c r="H107" s="162">
        <f t="shared" si="7"/>
        <v>0</v>
      </c>
      <c r="I107" s="244"/>
    </row>
    <row r="108" spans="1:9" s="38" customFormat="1" x14ac:dyDescent="0.2">
      <c r="A108" s="157">
        <v>105</v>
      </c>
      <c r="B108" s="163" t="s">
        <v>183</v>
      </c>
      <c r="C108" s="165" t="s">
        <v>38</v>
      </c>
      <c r="D108" s="166">
        <v>0.17636515529798821</v>
      </c>
      <c r="E108" s="163"/>
      <c r="F108" s="201">
        <f t="shared" si="5"/>
        <v>3784.8667787569466</v>
      </c>
      <c r="G108" s="167"/>
      <c r="H108" s="162">
        <f t="shared" si="7"/>
        <v>0</v>
      </c>
      <c r="I108" s="244"/>
    </row>
    <row r="109" spans="1:9" s="38" customFormat="1" x14ac:dyDescent="0.2">
      <c r="A109" s="157">
        <v>106</v>
      </c>
      <c r="B109" s="163" t="s">
        <v>37</v>
      </c>
      <c r="C109" s="165" t="s">
        <v>38</v>
      </c>
      <c r="D109" s="166">
        <v>1.1339810582100707E-2</v>
      </c>
      <c r="E109" s="163"/>
      <c r="F109" s="201">
        <f t="shared" si="5"/>
        <v>243.35687101611401</v>
      </c>
      <c r="G109" s="167"/>
      <c r="H109" s="162">
        <f t="shared" si="7"/>
        <v>0</v>
      </c>
      <c r="I109" s="244"/>
    </row>
    <row r="110" spans="1:9" s="38" customFormat="1" x14ac:dyDescent="0.2">
      <c r="A110" s="157">
        <v>107</v>
      </c>
      <c r="B110" s="163" t="s">
        <v>149</v>
      </c>
      <c r="C110" s="165" t="s">
        <v>38</v>
      </c>
      <c r="D110" s="166">
        <v>2.6316016118799111E-2</v>
      </c>
      <c r="E110" s="163"/>
      <c r="F110" s="201">
        <f t="shared" si="5"/>
        <v>564.75223231587643</v>
      </c>
      <c r="G110" s="167"/>
      <c r="H110" s="162">
        <f t="shared" si="7"/>
        <v>0</v>
      </c>
      <c r="I110" s="244"/>
    </row>
    <row r="111" spans="1:9" s="38" customFormat="1" x14ac:dyDescent="0.2">
      <c r="A111" s="157">
        <v>108</v>
      </c>
      <c r="B111" s="163" t="s">
        <v>649</v>
      </c>
      <c r="C111" s="165" t="s">
        <v>515</v>
      </c>
      <c r="D111" s="166">
        <v>0.956946040683604</v>
      </c>
      <c r="E111" s="163"/>
      <c r="F111" s="201">
        <f t="shared" si="5"/>
        <v>20536.444811486417</v>
      </c>
      <c r="G111" s="167"/>
      <c r="H111" s="162">
        <f t="shared" si="7"/>
        <v>0</v>
      </c>
      <c r="I111" s="244"/>
    </row>
    <row r="112" spans="1:9" s="38" customFormat="1" x14ac:dyDescent="0.2">
      <c r="A112" s="157">
        <v>109</v>
      </c>
      <c r="B112" s="163" t="s">
        <v>110</v>
      </c>
      <c r="C112" s="165" t="s">
        <v>17</v>
      </c>
      <c r="D112" s="166">
        <v>7.7991102315713726E-2</v>
      </c>
      <c r="E112" s="163"/>
      <c r="F112" s="201">
        <f t="shared" si="5"/>
        <v>1673.720252136143</v>
      </c>
      <c r="G112" s="167"/>
      <c r="H112" s="162">
        <f t="shared" si="7"/>
        <v>0</v>
      </c>
      <c r="I112" s="244"/>
    </row>
    <row r="113" spans="1:9" s="38" customFormat="1" x14ac:dyDescent="0.2">
      <c r="A113" s="157">
        <v>110</v>
      </c>
      <c r="B113" s="163" t="s">
        <v>77</v>
      </c>
      <c r="C113" s="165" t="s">
        <v>38</v>
      </c>
      <c r="D113" s="112">
        <f>+H113</f>
        <v>0.13932638720620305</v>
      </c>
      <c r="E113" s="113"/>
      <c r="F113" s="201">
        <f t="shared" si="5"/>
        <v>2990</v>
      </c>
      <c r="G113" s="132">
        <v>2990</v>
      </c>
      <c r="H113" s="131">
        <f t="shared" si="7"/>
        <v>0.13932638720620305</v>
      </c>
      <c r="I113" s="243"/>
    </row>
    <row r="114" spans="1:9" s="38" customFormat="1" x14ac:dyDescent="0.2">
      <c r="A114" s="157">
        <v>111</v>
      </c>
      <c r="B114" s="163" t="s">
        <v>246</v>
      </c>
      <c r="C114" s="165" t="s">
        <v>18</v>
      </c>
      <c r="D114" s="166">
        <v>1.923461541774044E-2</v>
      </c>
      <c r="E114" s="163"/>
      <c r="F114" s="201">
        <f t="shared" si="5"/>
        <v>412.78254071087696</v>
      </c>
      <c r="G114" s="167"/>
      <c r="H114" s="162">
        <f t="shared" si="7"/>
        <v>0</v>
      </c>
      <c r="I114" s="244"/>
    </row>
    <row r="115" spans="1:9" s="38" customFormat="1" x14ac:dyDescent="0.2">
      <c r="A115" s="157">
        <v>112</v>
      </c>
      <c r="B115" s="163" t="s">
        <v>646</v>
      </c>
      <c r="C115" s="165" t="s">
        <v>17</v>
      </c>
      <c r="D115" s="166">
        <v>5.9330654522383444E-3</v>
      </c>
      <c r="E115" s="163"/>
      <c r="F115" s="201">
        <f t="shared" si="5"/>
        <v>127.32595783121577</v>
      </c>
      <c r="G115" s="167"/>
      <c r="H115" s="162">
        <f t="shared" si="7"/>
        <v>0</v>
      </c>
      <c r="I115" s="244"/>
    </row>
    <row r="116" spans="1:9" s="38" customFormat="1" x14ac:dyDescent="0.2">
      <c r="A116" s="157">
        <v>113</v>
      </c>
      <c r="B116" s="163" t="s">
        <v>39</v>
      </c>
      <c r="C116" s="165" t="s">
        <v>17</v>
      </c>
      <c r="D116" s="166">
        <v>7.1770953051270296E-4</v>
      </c>
      <c r="E116" s="163" t="s">
        <v>468</v>
      </c>
      <c r="F116" s="201">
        <f t="shared" si="5"/>
        <v>15.402333608614812</v>
      </c>
      <c r="G116" s="167"/>
      <c r="H116" s="162">
        <f t="shared" si="7"/>
        <v>0</v>
      </c>
      <c r="I116" s="244"/>
    </row>
    <row r="117" spans="1:9" s="38" customFormat="1" x14ac:dyDescent="0.2">
      <c r="A117" s="157">
        <v>114</v>
      </c>
      <c r="B117" s="163" t="s">
        <v>450</v>
      </c>
      <c r="C117" s="165" t="s">
        <v>451</v>
      </c>
      <c r="D117" s="166">
        <v>0.94450574215471716</v>
      </c>
      <c r="E117" s="163" t="s">
        <v>514</v>
      </c>
      <c r="F117" s="201">
        <f t="shared" si="5"/>
        <v>20269.471028937092</v>
      </c>
      <c r="G117" s="167"/>
      <c r="H117" s="162">
        <f t="shared" si="7"/>
        <v>0</v>
      </c>
      <c r="I117" s="244"/>
    </row>
    <row r="118" spans="1:9" s="38" customFormat="1" x14ac:dyDescent="0.2">
      <c r="A118" s="157">
        <v>115</v>
      </c>
      <c r="B118" s="170" t="s">
        <v>136</v>
      </c>
      <c r="C118" s="171" t="s">
        <v>14</v>
      </c>
      <c r="D118" s="166">
        <v>0.14636489692255722</v>
      </c>
      <c r="E118" s="163" t="s">
        <v>469</v>
      </c>
      <c r="F118" s="201">
        <f t="shared" si="5"/>
        <v>3141.0492339168472</v>
      </c>
      <c r="G118" s="132"/>
      <c r="H118" s="162">
        <f t="shared" si="7"/>
        <v>0</v>
      </c>
      <c r="I118" s="244"/>
    </row>
    <row r="119" spans="1:9" s="38" customFormat="1" x14ac:dyDescent="0.2">
      <c r="A119" s="157">
        <v>116</v>
      </c>
      <c r="B119" s="163" t="s">
        <v>142</v>
      </c>
      <c r="C119" s="165" t="s">
        <v>6</v>
      </c>
      <c r="D119" s="166">
        <v>0.31100746322217132</v>
      </c>
      <c r="E119" s="163"/>
      <c r="F119" s="201">
        <f t="shared" si="5"/>
        <v>6674.344563733086</v>
      </c>
      <c r="G119" s="132"/>
      <c r="H119" s="162">
        <f t="shared" si="7"/>
        <v>0</v>
      </c>
      <c r="I119" s="244"/>
    </row>
    <row r="120" spans="1:9" s="38" customFormat="1" x14ac:dyDescent="0.2">
      <c r="A120" s="157">
        <v>117</v>
      </c>
      <c r="B120" s="172" t="s">
        <v>23</v>
      </c>
      <c r="C120" s="165" t="s">
        <v>6</v>
      </c>
      <c r="D120" s="166">
        <v>0.31100746322217132</v>
      </c>
      <c r="E120" s="163"/>
      <c r="F120" s="201">
        <f t="shared" si="5"/>
        <v>6674.344563733086</v>
      </c>
      <c r="G120" s="132"/>
      <c r="H120" s="162">
        <f t="shared" si="7"/>
        <v>0</v>
      </c>
      <c r="I120" s="244"/>
    </row>
    <row r="121" spans="1:9" s="38" customFormat="1" x14ac:dyDescent="0.2">
      <c r="A121" s="157">
        <v>118</v>
      </c>
      <c r="B121" s="163" t="s">
        <v>231</v>
      </c>
      <c r="C121" s="165" t="s">
        <v>568</v>
      </c>
      <c r="D121" s="166">
        <v>4.3397502945001443E-2</v>
      </c>
      <c r="E121" s="163" t="s">
        <v>403</v>
      </c>
      <c r="F121" s="201">
        <f t="shared" si="5"/>
        <v>931.32777220090907</v>
      </c>
      <c r="G121" s="132"/>
      <c r="H121" s="162">
        <f t="shared" si="7"/>
        <v>0</v>
      </c>
      <c r="I121" s="244"/>
    </row>
    <row r="122" spans="1:9" s="38" customFormat="1" x14ac:dyDescent="0.2">
      <c r="A122" s="157">
        <v>119</v>
      </c>
      <c r="B122" s="172" t="s">
        <v>500</v>
      </c>
      <c r="C122" s="165" t="s">
        <v>17</v>
      </c>
      <c r="D122" s="166">
        <v>2.6220321514730749E-2</v>
      </c>
      <c r="E122" s="163"/>
      <c r="F122" s="201">
        <f t="shared" si="5"/>
        <v>562.69858783472785</v>
      </c>
      <c r="G122" s="132"/>
      <c r="H122" s="162">
        <f t="shared" si="7"/>
        <v>0</v>
      </c>
      <c r="I122" s="244"/>
    </row>
    <row r="123" spans="1:9" s="38" customFormat="1" x14ac:dyDescent="0.2">
      <c r="A123" s="157">
        <v>120</v>
      </c>
      <c r="B123" s="170" t="s">
        <v>263</v>
      </c>
      <c r="C123" s="165" t="s">
        <v>568</v>
      </c>
      <c r="D123" s="166">
        <v>4.1722847373805133E-2</v>
      </c>
      <c r="E123" s="163"/>
      <c r="F123" s="201">
        <f t="shared" si="5"/>
        <v>895.38899378080771</v>
      </c>
      <c r="G123" s="132"/>
      <c r="H123" s="162">
        <f t="shared" si="7"/>
        <v>0</v>
      </c>
      <c r="I123" s="244"/>
    </row>
    <row r="124" spans="1:9" s="38" customFormat="1" x14ac:dyDescent="0.2">
      <c r="A124" s="157">
        <v>121</v>
      </c>
      <c r="B124" s="163" t="s">
        <v>65</v>
      </c>
      <c r="C124" s="165" t="s">
        <v>568</v>
      </c>
      <c r="D124" s="166">
        <v>2.5359070078115505E-2</v>
      </c>
      <c r="E124" s="163"/>
      <c r="F124" s="201">
        <f t="shared" si="5"/>
        <v>544.21578750439005</v>
      </c>
      <c r="G124" s="132"/>
      <c r="H124" s="162">
        <f t="shared" si="7"/>
        <v>0</v>
      </c>
      <c r="I124" s="244"/>
    </row>
    <row r="125" spans="1:9" s="38" customFormat="1" x14ac:dyDescent="0.2">
      <c r="A125" s="157">
        <v>122</v>
      </c>
      <c r="B125" s="163" t="s">
        <v>442</v>
      </c>
      <c r="C125" s="165" t="s">
        <v>305</v>
      </c>
      <c r="D125" s="166">
        <v>1.0168987101324318</v>
      </c>
      <c r="E125" s="163" t="s">
        <v>443</v>
      </c>
      <c r="F125" s="201">
        <f t="shared" si="5"/>
        <v>21823.053078926041</v>
      </c>
      <c r="G125" s="132"/>
      <c r="H125" s="162">
        <f t="shared" si="7"/>
        <v>0</v>
      </c>
      <c r="I125" s="244"/>
    </row>
    <row r="126" spans="1:9" s="38" customFormat="1" x14ac:dyDescent="0.2">
      <c r="A126" s="157">
        <v>123</v>
      </c>
      <c r="B126" s="163" t="s">
        <v>344</v>
      </c>
      <c r="C126" s="165" t="s">
        <v>17</v>
      </c>
      <c r="D126" s="166">
        <v>5.4115298600657807E-2</v>
      </c>
      <c r="E126" s="163"/>
      <c r="F126" s="201">
        <f t="shared" si="5"/>
        <v>1161.3359540895569</v>
      </c>
      <c r="G126" s="132"/>
      <c r="H126" s="162">
        <f t="shared" si="7"/>
        <v>0</v>
      </c>
      <c r="I126" s="244"/>
    </row>
    <row r="127" spans="1:9" s="38" customFormat="1" x14ac:dyDescent="0.2">
      <c r="A127" s="157">
        <v>124</v>
      </c>
      <c r="B127" s="163" t="s">
        <v>66</v>
      </c>
      <c r="C127" s="165" t="s">
        <v>568</v>
      </c>
      <c r="D127" s="166">
        <v>1.7272876034339052E-2</v>
      </c>
      <c r="E127" s="163"/>
      <c r="F127" s="201">
        <f t="shared" si="5"/>
        <v>370.6828288473298</v>
      </c>
      <c r="G127" s="132"/>
      <c r="H127" s="162">
        <f t="shared" si="7"/>
        <v>0</v>
      </c>
      <c r="I127" s="244"/>
    </row>
    <row r="128" spans="1:9" s="38" customFormat="1" x14ac:dyDescent="0.2">
      <c r="A128" s="157">
        <v>125</v>
      </c>
      <c r="B128" s="163" t="s">
        <v>327</v>
      </c>
      <c r="C128" s="165" t="s">
        <v>42</v>
      </c>
      <c r="D128" s="166">
        <f>+H128</f>
        <v>6.9896180872677108E-3</v>
      </c>
      <c r="E128" s="163"/>
      <c r="F128" s="201">
        <f t="shared" si="5"/>
        <v>150</v>
      </c>
      <c r="G128" s="132">
        <v>150</v>
      </c>
      <c r="H128" s="131">
        <f t="shared" si="7"/>
        <v>6.9896180872677108E-3</v>
      </c>
      <c r="I128" s="244"/>
    </row>
    <row r="129" spans="1:9" s="38" customFormat="1" x14ac:dyDescent="0.2">
      <c r="A129" s="157">
        <v>126</v>
      </c>
      <c r="B129" s="163" t="s">
        <v>307</v>
      </c>
      <c r="C129" s="165" t="s">
        <v>42</v>
      </c>
      <c r="D129" s="166">
        <v>4.0191733708711368E-3</v>
      </c>
      <c r="E129" s="163"/>
      <c r="F129" s="201">
        <f t="shared" si="5"/>
        <v>86.253068208242951</v>
      </c>
      <c r="G129" s="135">
        <v>160</v>
      </c>
      <c r="H129" s="173">
        <f t="shared" si="7"/>
        <v>7.4555926264188921E-3</v>
      </c>
      <c r="I129" s="244"/>
    </row>
    <row r="130" spans="1:9" s="38" customFormat="1" x14ac:dyDescent="0.2">
      <c r="A130" s="157">
        <v>127</v>
      </c>
      <c r="B130" s="158" t="s">
        <v>629</v>
      </c>
      <c r="C130" s="165" t="s">
        <v>42</v>
      </c>
      <c r="D130" s="166">
        <v>4.4976463912129389E-3</v>
      </c>
      <c r="E130" s="163"/>
      <c r="F130" s="201">
        <f t="shared" si="5"/>
        <v>96.521290613986167</v>
      </c>
      <c r="G130" s="135">
        <v>305</v>
      </c>
      <c r="H130" s="173">
        <f t="shared" si="7"/>
        <v>1.4212223444111013E-2</v>
      </c>
      <c r="I130" s="244"/>
    </row>
    <row r="131" spans="1:9" s="38" customFormat="1" x14ac:dyDescent="0.2">
      <c r="A131" s="157">
        <v>128</v>
      </c>
      <c r="B131" s="163" t="s">
        <v>631</v>
      </c>
      <c r="C131" s="165" t="s">
        <v>17</v>
      </c>
      <c r="D131" s="166">
        <f t="shared" ref="D131:D136" si="8">+H131</f>
        <v>1.1649363478779519E-2</v>
      </c>
      <c r="E131" s="163"/>
      <c r="F131" s="201">
        <f t="shared" si="5"/>
        <v>250</v>
      </c>
      <c r="G131" s="135">
        <f>+(245+255)/2</f>
        <v>250</v>
      </c>
      <c r="H131" s="136">
        <f t="shared" si="7"/>
        <v>1.1649363478779519E-2</v>
      </c>
      <c r="I131" s="244"/>
    </row>
    <row r="132" spans="1:9" s="38" customFormat="1" x14ac:dyDescent="0.2">
      <c r="A132" s="157">
        <v>129</v>
      </c>
      <c r="B132" s="163" t="s">
        <v>630</v>
      </c>
      <c r="C132" s="165" t="s">
        <v>17</v>
      </c>
      <c r="D132" s="166">
        <f t="shared" si="8"/>
        <v>1.6006225419843059E-2</v>
      </c>
      <c r="E132" s="163"/>
      <c r="F132" s="201">
        <f t="shared" ref="F132:F195" si="9">D132*$F$1</f>
        <v>343.5</v>
      </c>
      <c r="G132" s="135">
        <f>+(360+327)/2</f>
        <v>343.5</v>
      </c>
      <c r="H132" s="136">
        <f t="shared" ref="H132:H163" si="10">+G132/$F$1</f>
        <v>1.6006225419843059E-2</v>
      </c>
      <c r="I132" s="244"/>
    </row>
    <row r="133" spans="1:9" s="38" customFormat="1" x14ac:dyDescent="0.2">
      <c r="A133" s="157">
        <v>130</v>
      </c>
      <c r="B133" s="163" t="s">
        <v>632</v>
      </c>
      <c r="C133" s="165" t="s">
        <v>17</v>
      </c>
      <c r="D133" s="166">
        <f t="shared" si="8"/>
        <v>2.1038750442675811E-2</v>
      </c>
      <c r="E133" s="163"/>
      <c r="F133" s="201">
        <f t="shared" si="9"/>
        <v>451.5</v>
      </c>
      <c r="G133" s="135">
        <f>+(511+392)/2</f>
        <v>451.5</v>
      </c>
      <c r="H133" s="136">
        <f t="shared" si="10"/>
        <v>2.1038750442675811E-2</v>
      </c>
      <c r="I133" s="244"/>
    </row>
    <row r="134" spans="1:9" s="38" customFormat="1" x14ac:dyDescent="0.2">
      <c r="A134" s="157">
        <v>131</v>
      </c>
      <c r="B134" s="163" t="s">
        <v>531</v>
      </c>
      <c r="C134" s="165" t="s">
        <v>17</v>
      </c>
      <c r="D134" s="166">
        <f t="shared" si="8"/>
        <v>1.5470354699819201E-2</v>
      </c>
      <c r="E134" s="163"/>
      <c r="F134" s="201">
        <f t="shared" si="9"/>
        <v>332</v>
      </c>
      <c r="G134" s="135">
        <v>332</v>
      </c>
      <c r="H134" s="136">
        <f t="shared" si="10"/>
        <v>1.5470354699819201E-2</v>
      </c>
      <c r="I134" s="244"/>
    </row>
    <row r="135" spans="1:9" s="38" customFormat="1" x14ac:dyDescent="0.2">
      <c r="A135" s="157">
        <v>132</v>
      </c>
      <c r="B135" s="163" t="s">
        <v>532</v>
      </c>
      <c r="C135" s="165" t="s">
        <v>17</v>
      </c>
      <c r="D135" s="166">
        <f t="shared" si="8"/>
        <v>1.8778773927792584E-2</v>
      </c>
      <c r="E135" s="163"/>
      <c r="F135" s="201">
        <f t="shared" si="9"/>
        <v>403</v>
      </c>
      <c r="G135" s="135">
        <v>403</v>
      </c>
      <c r="H135" s="136">
        <f t="shared" si="10"/>
        <v>1.8778773927792584E-2</v>
      </c>
      <c r="I135" s="244"/>
    </row>
    <row r="136" spans="1:9" s="38" customFormat="1" x14ac:dyDescent="0.2">
      <c r="A136" s="157">
        <v>133</v>
      </c>
      <c r="B136" s="163" t="s">
        <v>536</v>
      </c>
      <c r="C136" s="165" t="s">
        <v>17</v>
      </c>
      <c r="D136" s="166">
        <f t="shared" si="8"/>
        <v>2.2646362602747383E-2</v>
      </c>
      <c r="E136" s="163"/>
      <c r="F136" s="201">
        <f t="shared" si="9"/>
        <v>485.99999999999994</v>
      </c>
      <c r="G136" s="135">
        <v>486</v>
      </c>
      <c r="H136" s="136">
        <f t="shared" si="10"/>
        <v>2.2646362602747383E-2</v>
      </c>
      <c r="I136" s="244"/>
    </row>
    <row r="137" spans="1:9" s="38" customFormat="1" x14ac:dyDescent="0.2">
      <c r="A137" s="157">
        <v>134</v>
      </c>
      <c r="B137" s="163" t="s">
        <v>381</v>
      </c>
      <c r="C137" s="165" t="s">
        <v>17</v>
      </c>
      <c r="D137" s="166">
        <v>9.6651550109044006E-3</v>
      </c>
      <c r="E137" s="163"/>
      <c r="F137" s="201">
        <f t="shared" si="9"/>
        <v>207.4180925960128</v>
      </c>
      <c r="G137" s="167"/>
      <c r="H137" s="162">
        <f t="shared" si="10"/>
        <v>0</v>
      </c>
      <c r="I137" s="244"/>
    </row>
    <row r="138" spans="1:9" s="38" customFormat="1" x14ac:dyDescent="0.2">
      <c r="A138" s="157">
        <v>135</v>
      </c>
      <c r="B138" s="163" t="s">
        <v>174</v>
      </c>
      <c r="C138" s="165" t="s">
        <v>38</v>
      </c>
      <c r="D138" s="166">
        <v>5.9569891032554348E-2</v>
      </c>
      <c r="E138" s="163"/>
      <c r="F138" s="201">
        <f t="shared" si="9"/>
        <v>1278.3936895150293</v>
      </c>
      <c r="G138" s="167"/>
      <c r="H138" s="162">
        <f t="shared" si="10"/>
        <v>0</v>
      </c>
      <c r="I138" s="244"/>
    </row>
    <row r="139" spans="1:9" s="38" customFormat="1" x14ac:dyDescent="0.2">
      <c r="A139" s="157">
        <v>136</v>
      </c>
      <c r="B139" s="163" t="s">
        <v>329</v>
      </c>
      <c r="C139" s="165" t="s">
        <v>17</v>
      </c>
      <c r="D139" s="166">
        <v>1.0717795655656364</v>
      </c>
      <c r="E139" s="163"/>
      <c r="F139" s="201">
        <f t="shared" si="9"/>
        <v>23000.818188864785</v>
      </c>
      <c r="G139" s="167"/>
      <c r="H139" s="162">
        <f t="shared" si="10"/>
        <v>0</v>
      </c>
      <c r="I139" s="244"/>
    </row>
    <row r="140" spans="1:9" s="38" customFormat="1" x14ac:dyDescent="0.2">
      <c r="A140" s="157">
        <v>137</v>
      </c>
      <c r="B140" s="163" t="s">
        <v>63</v>
      </c>
      <c r="C140" s="165" t="s">
        <v>17</v>
      </c>
      <c r="D140" s="166">
        <v>1.2295799676743628</v>
      </c>
      <c r="E140" s="163"/>
      <c r="F140" s="201">
        <f t="shared" si="9"/>
        <v>26387.277938278898</v>
      </c>
      <c r="G140" s="167"/>
      <c r="H140" s="162">
        <f t="shared" si="10"/>
        <v>0</v>
      </c>
      <c r="I140" s="244"/>
    </row>
    <row r="141" spans="1:9" s="38" customFormat="1" x14ac:dyDescent="0.2">
      <c r="A141" s="157">
        <v>138</v>
      </c>
      <c r="B141" s="163" t="s">
        <v>481</v>
      </c>
      <c r="C141" s="165" t="s">
        <v>17</v>
      </c>
      <c r="D141" s="166">
        <v>0.8990508052222459</v>
      </c>
      <c r="E141" s="163"/>
      <c r="F141" s="201">
        <f t="shared" si="9"/>
        <v>19293.989900391487</v>
      </c>
      <c r="G141" s="167"/>
      <c r="H141" s="162">
        <f t="shared" si="10"/>
        <v>0</v>
      </c>
      <c r="I141" s="244"/>
    </row>
    <row r="142" spans="1:9" s="38" customFormat="1" x14ac:dyDescent="0.2">
      <c r="A142" s="157">
        <v>139</v>
      </c>
      <c r="B142" s="163" t="s">
        <v>482</v>
      </c>
      <c r="C142" s="165" t="s">
        <v>17</v>
      </c>
      <c r="D142" s="166">
        <v>2.412078190147092</v>
      </c>
      <c r="E142" s="163"/>
      <c r="F142" s="201">
        <f t="shared" si="9"/>
        <v>51764.162791832656</v>
      </c>
      <c r="G142" s="167"/>
      <c r="H142" s="162">
        <f t="shared" si="10"/>
        <v>0</v>
      </c>
      <c r="I142" s="244"/>
    </row>
    <row r="143" spans="1:9" s="38" customFormat="1" x14ac:dyDescent="0.2">
      <c r="A143" s="157">
        <v>140</v>
      </c>
      <c r="B143" s="163" t="s">
        <v>657</v>
      </c>
      <c r="C143" s="165" t="s">
        <v>17</v>
      </c>
      <c r="D143" s="166">
        <v>6.1244546603750658</v>
      </c>
      <c r="E143" s="163" t="s">
        <v>485</v>
      </c>
      <c r="F143" s="201">
        <f t="shared" si="9"/>
        <v>131433.24679351307</v>
      </c>
      <c r="G143" s="167"/>
      <c r="H143" s="162">
        <f t="shared" si="10"/>
        <v>0</v>
      </c>
      <c r="I143" s="244"/>
    </row>
    <row r="144" spans="1:9" s="38" customFormat="1" x14ac:dyDescent="0.2">
      <c r="A144" s="157">
        <v>141</v>
      </c>
      <c r="B144" s="163" t="s">
        <v>87</v>
      </c>
      <c r="C144" s="165" t="s">
        <v>17</v>
      </c>
      <c r="D144" s="166">
        <v>3.8277841627344161E-3</v>
      </c>
      <c r="E144" s="163" t="s">
        <v>470</v>
      </c>
      <c r="F144" s="201">
        <f t="shared" si="9"/>
        <v>82.145779245945675</v>
      </c>
      <c r="G144" s="167"/>
      <c r="H144" s="162">
        <f t="shared" si="10"/>
        <v>0</v>
      </c>
      <c r="I144" s="244"/>
    </row>
    <row r="145" spans="1:9" s="38" customFormat="1" x14ac:dyDescent="0.2">
      <c r="A145" s="157">
        <v>142</v>
      </c>
      <c r="B145" s="170" t="s">
        <v>276</v>
      </c>
      <c r="C145" s="165" t="s">
        <v>17</v>
      </c>
      <c r="D145" s="166">
        <v>0.10818274989928144</v>
      </c>
      <c r="E145" s="163"/>
      <c r="F145" s="201">
        <f t="shared" si="9"/>
        <v>2321.6450859385395</v>
      </c>
      <c r="G145" s="167"/>
      <c r="H145" s="162">
        <f t="shared" si="10"/>
        <v>0</v>
      </c>
      <c r="I145" s="244"/>
    </row>
    <row r="146" spans="1:9" s="52" customFormat="1" x14ac:dyDescent="0.2">
      <c r="A146" s="157">
        <v>143</v>
      </c>
      <c r="B146" s="170" t="s">
        <v>521</v>
      </c>
      <c r="C146" s="165" t="s">
        <v>17</v>
      </c>
      <c r="D146" s="166">
        <v>0.13600000000000001</v>
      </c>
      <c r="E146" s="163"/>
      <c r="F146" s="201">
        <f t="shared" si="9"/>
        <v>2918.6144000000004</v>
      </c>
      <c r="G146" s="167"/>
      <c r="H146" s="162">
        <f t="shared" si="10"/>
        <v>0</v>
      </c>
      <c r="I146" s="244"/>
    </row>
    <row r="147" spans="1:9" s="38" customFormat="1" x14ac:dyDescent="0.2">
      <c r="A147" s="157">
        <v>144</v>
      </c>
      <c r="B147" s="163" t="s">
        <v>274</v>
      </c>
      <c r="C147" s="165" t="s">
        <v>17</v>
      </c>
      <c r="D147" s="166">
        <v>0.30115091900313018</v>
      </c>
      <c r="E147" s="163"/>
      <c r="F147" s="201">
        <f t="shared" si="9"/>
        <v>6462.8191821747751</v>
      </c>
      <c r="G147" s="167"/>
      <c r="H147" s="162">
        <f t="shared" si="10"/>
        <v>0</v>
      </c>
      <c r="I147" s="244"/>
    </row>
    <row r="148" spans="1:9" s="38" customFormat="1" x14ac:dyDescent="0.2">
      <c r="A148" s="157">
        <v>145</v>
      </c>
      <c r="B148" s="163" t="s">
        <v>78</v>
      </c>
      <c r="C148" s="165" t="s">
        <v>17</v>
      </c>
      <c r="D148" s="166">
        <v>8.8039035742891569E-2</v>
      </c>
      <c r="E148" s="163"/>
      <c r="F148" s="201">
        <f t="shared" si="9"/>
        <v>1889.3529226567503</v>
      </c>
      <c r="G148" s="167"/>
      <c r="H148" s="162">
        <f t="shared" si="10"/>
        <v>0</v>
      </c>
      <c r="I148" s="244"/>
    </row>
    <row r="149" spans="1:9" s="38" customFormat="1" x14ac:dyDescent="0.2">
      <c r="A149" s="157">
        <v>146</v>
      </c>
      <c r="B149" s="163" t="s">
        <v>79</v>
      </c>
      <c r="C149" s="165" t="s">
        <v>17</v>
      </c>
      <c r="D149" s="166">
        <v>0.20062373742931758</v>
      </c>
      <c r="E149" s="163"/>
      <c r="F149" s="201">
        <f t="shared" si="9"/>
        <v>4305.4656547281274</v>
      </c>
      <c r="G149" s="167"/>
      <c r="H149" s="162">
        <f t="shared" si="10"/>
        <v>0</v>
      </c>
      <c r="I149" s="244"/>
    </row>
    <row r="150" spans="1:9" s="38" customFormat="1" x14ac:dyDescent="0.2">
      <c r="A150" s="157">
        <v>147</v>
      </c>
      <c r="B150" s="163" t="s">
        <v>405</v>
      </c>
      <c r="C150" s="165" t="s">
        <v>17</v>
      </c>
      <c r="D150" s="166">
        <v>0.1655038177362293</v>
      </c>
      <c r="E150" s="174"/>
      <c r="F150" s="201">
        <f t="shared" si="9"/>
        <v>3551.7781301465757</v>
      </c>
      <c r="G150" s="167"/>
      <c r="H150" s="162">
        <f t="shared" si="10"/>
        <v>0</v>
      </c>
      <c r="I150" s="244"/>
    </row>
    <row r="151" spans="1:9" s="38" customFormat="1" x14ac:dyDescent="0.2">
      <c r="A151" s="157">
        <v>148</v>
      </c>
      <c r="B151" s="163" t="s">
        <v>48</v>
      </c>
      <c r="C151" s="165" t="s">
        <v>17</v>
      </c>
      <c r="D151" s="166">
        <v>0.35344802012648913</v>
      </c>
      <c r="E151" s="163"/>
      <c r="F151" s="201">
        <f t="shared" si="9"/>
        <v>7585.1358911225079</v>
      </c>
      <c r="G151" s="167"/>
      <c r="H151" s="162">
        <f t="shared" si="10"/>
        <v>0</v>
      </c>
      <c r="I151" s="244"/>
    </row>
    <row r="152" spans="1:9" s="38" customFormat="1" x14ac:dyDescent="0.2">
      <c r="A152" s="157">
        <v>149</v>
      </c>
      <c r="B152" s="163" t="s">
        <v>47</v>
      </c>
      <c r="C152" s="165" t="s">
        <v>17</v>
      </c>
      <c r="D152" s="166">
        <v>0.51024362889249764</v>
      </c>
      <c r="E152" s="163"/>
      <c r="F152" s="201">
        <f t="shared" si="9"/>
        <v>10950.032373484557</v>
      </c>
      <c r="G152" s="167"/>
      <c r="H152" s="162">
        <f t="shared" si="10"/>
        <v>0</v>
      </c>
      <c r="I152" s="244"/>
    </row>
    <row r="153" spans="1:9" s="38" customFormat="1" x14ac:dyDescent="0.2">
      <c r="A153" s="157">
        <v>150</v>
      </c>
      <c r="B153" s="163" t="s">
        <v>80</v>
      </c>
      <c r="C153" s="165" t="s">
        <v>17</v>
      </c>
      <c r="D153" s="166">
        <v>0.92436202799832723</v>
      </c>
      <c r="E153" s="163" t="s">
        <v>461</v>
      </c>
      <c r="F153" s="201">
        <f t="shared" si="9"/>
        <v>19837.178865655304</v>
      </c>
      <c r="G153" s="167"/>
      <c r="H153" s="162">
        <f t="shared" si="10"/>
        <v>0</v>
      </c>
      <c r="I153" s="244"/>
    </row>
    <row r="154" spans="1:9" s="38" customFormat="1" x14ac:dyDescent="0.2">
      <c r="A154" s="157">
        <v>151</v>
      </c>
      <c r="B154" s="163" t="s">
        <v>64</v>
      </c>
      <c r="C154" s="165" t="s">
        <v>17</v>
      </c>
      <c r="D154" s="166">
        <v>0.19660456405844645</v>
      </c>
      <c r="E154" s="163"/>
      <c r="F154" s="201">
        <f t="shared" si="9"/>
        <v>4219.2125865198841</v>
      </c>
      <c r="G154" s="167"/>
      <c r="H154" s="162">
        <f t="shared" si="10"/>
        <v>0</v>
      </c>
      <c r="I154" s="244"/>
    </row>
    <row r="155" spans="1:9" s="38" customFormat="1" x14ac:dyDescent="0.2">
      <c r="A155" s="157">
        <v>152</v>
      </c>
      <c r="B155" s="163" t="s">
        <v>46</v>
      </c>
      <c r="C155" s="165" t="s">
        <v>17</v>
      </c>
      <c r="D155" s="166">
        <v>0.3126821187933676</v>
      </c>
      <c r="E155" s="163"/>
      <c r="F155" s="201">
        <f t="shared" si="9"/>
        <v>6710.2833421531868</v>
      </c>
      <c r="G155" s="167"/>
      <c r="H155" s="162">
        <f t="shared" si="10"/>
        <v>0</v>
      </c>
      <c r="I155" s="244"/>
    </row>
    <row r="156" spans="1:9" s="38" customFormat="1" x14ac:dyDescent="0.2">
      <c r="A156" s="157">
        <v>153</v>
      </c>
      <c r="B156" s="163" t="s">
        <v>330</v>
      </c>
      <c r="C156" s="165" t="s">
        <v>17</v>
      </c>
      <c r="D156" s="166">
        <f>+H156</f>
        <v>0.68940933067417187</v>
      </c>
      <c r="E156" s="163"/>
      <c r="F156" s="201">
        <f t="shared" si="9"/>
        <v>14794.999999999998</v>
      </c>
      <c r="G156" s="132">
        <f>14795</f>
        <v>14795</v>
      </c>
      <c r="H156" s="131">
        <f t="shared" si="10"/>
        <v>0.68940933067417187</v>
      </c>
      <c r="I156" s="243"/>
    </row>
    <row r="157" spans="1:9" s="38" customFormat="1" x14ac:dyDescent="0.2">
      <c r="A157" s="157">
        <v>154</v>
      </c>
      <c r="B157" s="163" t="s">
        <v>447</v>
      </c>
      <c r="C157" s="165" t="s">
        <v>17</v>
      </c>
      <c r="D157" s="166">
        <v>7.6029362932312342E-2</v>
      </c>
      <c r="E157" s="163" t="s">
        <v>457</v>
      </c>
      <c r="F157" s="201">
        <f t="shared" si="9"/>
        <v>1631.6205402725959</v>
      </c>
      <c r="G157" s="167"/>
      <c r="H157" s="162">
        <f t="shared" si="10"/>
        <v>0</v>
      </c>
      <c r="I157" s="244"/>
    </row>
    <row r="158" spans="1:9" s="38" customFormat="1" x14ac:dyDescent="0.2">
      <c r="A158" s="157">
        <v>155</v>
      </c>
      <c r="B158" s="163" t="s">
        <v>448</v>
      </c>
      <c r="C158" s="165" t="s">
        <v>17</v>
      </c>
      <c r="D158" s="166">
        <v>0.1483744836079928</v>
      </c>
      <c r="E158" s="163" t="s">
        <v>457</v>
      </c>
      <c r="F158" s="201">
        <f t="shared" si="9"/>
        <v>3184.1757680209689</v>
      </c>
      <c r="G158" s="167"/>
      <c r="H158" s="162">
        <f t="shared" si="10"/>
        <v>0</v>
      </c>
      <c r="I158" s="244"/>
    </row>
    <row r="159" spans="1:9" s="38" customFormat="1" x14ac:dyDescent="0.2">
      <c r="A159" s="157">
        <v>156</v>
      </c>
      <c r="B159" s="170" t="s">
        <v>134</v>
      </c>
      <c r="C159" s="165" t="s">
        <v>38</v>
      </c>
      <c r="D159" s="166">
        <v>1.1291963280066528E-2</v>
      </c>
      <c r="E159" s="163"/>
      <c r="F159" s="201">
        <f t="shared" si="9"/>
        <v>242.33004877553972</v>
      </c>
      <c r="G159" s="167"/>
      <c r="H159" s="162">
        <f t="shared" si="10"/>
        <v>0</v>
      </c>
      <c r="I159" s="244"/>
    </row>
    <row r="160" spans="1:9" s="38" customFormat="1" x14ac:dyDescent="0.2">
      <c r="A160" s="157">
        <v>157</v>
      </c>
      <c r="B160" s="277" t="s">
        <v>559</v>
      </c>
      <c r="C160" s="165" t="s">
        <v>17</v>
      </c>
      <c r="D160" s="166">
        <f>+H160</f>
        <v>5.8246817393897594E-2</v>
      </c>
      <c r="E160" s="163"/>
      <c r="F160" s="201">
        <f t="shared" si="9"/>
        <v>1250</v>
      </c>
      <c r="G160" s="132">
        <v>1250</v>
      </c>
      <c r="H160" s="162">
        <f t="shared" si="10"/>
        <v>5.8246817393897594E-2</v>
      </c>
      <c r="I160" s="244"/>
    </row>
    <row r="161" spans="1:9" s="38" customFormat="1" x14ac:dyDescent="0.2">
      <c r="A161" s="157">
        <v>158</v>
      </c>
      <c r="B161" s="163" t="s">
        <v>57</v>
      </c>
      <c r="C161" s="165" t="s">
        <v>17</v>
      </c>
      <c r="D161" s="166">
        <f>+H161</f>
        <v>0.479487800786565</v>
      </c>
      <c r="E161" s="163"/>
      <c r="F161" s="201">
        <f t="shared" si="9"/>
        <v>10290</v>
      </c>
      <c r="G161" s="132">
        <v>10290</v>
      </c>
      <c r="H161" s="131">
        <f t="shared" si="10"/>
        <v>0.479487800786565</v>
      </c>
      <c r="I161" s="243"/>
    </row>
    <row r="162" spans="1:9" s="38" customFormat="1" x14ac:dyDescent="0.2">
      <c r="A162" s="157">
        <v>159</v>
      </c>
      <c r="B162" s="163" t="s">
        <v>56</v>
      </c>
      <c r="C162" s="165" t="s">
        <v>17</v>
      </c>
      <c r="D162" s="166">
        <v>0.60311524214084145</v>
      </c>
      <c r="E162" s="163"/>
      <c r="F162" s="201">
        <f t="shared" si="9"/>
        <v>12943.094342439315</v>
      </c>
      <c r="G162" s="167"/>
      <c r="H162" s="162">
        <f t="shared" si="10"/>
        <v>0</v>
      </c>
      <c r="I162" s="244"/>
    </row>
    <row r="163" spans="1:9" s="38" customFormat="1" x14ac:dyDescent="0.2">
      <c r="A163" s="157">
        <v>160</v>
      </c>
      <c r="B163" s="170" t="s">
        <v>342</v>
      </c>
      <c r="C163" s="165" t="s">
        <v>17</v>
      </c>
      <c r="D163" s="166">
        <v>0.52995671733057992</v>
      </c>
      <c r="E163" s="163"/>
      <c r="F163" s="201">
        <f t="shared" si="9"/>
        <v>11373.083136601179</v>
      </c>
      <c r="G163" s="167"/>
      <c r="H163" s="162">
        <f t="shared" si="10"/>
        <v>0</v>
      </c>
      <c r="I163" s="244"/>
    </row>
    <row r="164" spans="1:9" s="38" customFormat="1" x14ac:dyDescent="0.2">
      <c r="A164" s="157">
        <v>161</v>
      </c>
      <c r="B164" s="170" t="s">
        <v>499</v>
      </c>
      <c r="C164" s="165" t="s">
        <v>17</v>
      </c>
      <c r="D164" s="166">
        <v>2.80958668543557E-3</v>
      </c>
      <c r="E164" s="163"/>
      <c r="F164" s="201">
        <f t="shared" si="9"/>
        <v>60.294854104121512</v>
      </c>
      <c r="G164" s="167"/>
      <c r="H164" s="162">
        <f>+G164/$F$1</f>
        <v>0</v>
      </c>
      <c r="I164" s="244"/>
    </row>
    <row r="165" spans="1:9" s="38" customFormat="1" x14ac:dyDescent="0.2">
      <c r="A165" s="157">
        <v>162</v>
      </c>
      <c r="B165" s="163" t="s">
        <v>241</v>
      </c>
      <c r="C165" s="165" t="s">
        <v>568</v>
      </c>
      <c r="D165" s="166">
        <v>1.8277669377056837E-2</v>
      </c>
      <c r="E165" s="163" t="s">
        <v>240</v>
      </c>
      <c r="F165" s="201">
        <f t="shared" si="9"/>
        <v>392.24609589939058</v>
      </c>
      <c r="G165" s="167"/>
      <c r="H165" s="162">
        <f>+G165/$F$1</f>
        <v>0</v>
      </c>
      <c r="I165" s="244"/>
    </row>
    <row r="166" spans="1:9" s="38" customFormat="1" x14ac:dyDescent="0.2">
      <c r="A166" s="157">
        <v>170</v>
      </c>
      <c r="B166" s="163" t="s">
        <v>640</v>
      </c>
      <c r="C166" s="165" t="s">
        <v>18</v>
      </c>
      <c r="D166" s="166">
        <f>+H166</f>
        <v>3.410933626586643E-2</v>
      </c>
      <c r="E166" s="163"/>
      <c r="F166" s="201">
        <f>D166*$F$1</f>
        <v>732</v>
      </c>
      <c r="G166" s="132">
        <f>610*1.2</f>
        <v>732</v>
      </c>
      <c r="H166" s="131">
        <f>+G166/$F$1</f>
        <v>3.410933626586643E-2</v>
      </c>
      <c r="I166" s="244"/>
    </row>
    <row r="167" spans="1:9" s="38" customFormat="1" x14ac:dyDescent="0.2">
      <c r="A167" s="157">
        <v>169</v>
      </c>
      <c r="B167" s="163" t="s">
        <v>635</v>
      </c>
      <c r="C167" s="165" t="s">
        <v>568</v>
      </c>
      <c r="D167" s="166">
        <f>+H167</f>
        <v>7.9900928330923059E-3</v>
      </c>
      <c r="E167" s="163" t="s">
        <v>585</v>
      </c>
      <c r="F167" s="201">
        <f>D167*$F$1</f>
        <v>171.47058823529414</v>
      </c>
      <c r="G167" s="134">
        <f>583/3.4</f>
        <v>171.47058823529412</v>
      </c>
      <c r="H167" s="131">
        <f>+G167/$F$1</f>
        <v>7.9900928330923059E-3</v>
      </c>
      <c r="I167" s="244"/>
    </row>
    <row r="168" spans="1:9" s="38" customFormat="1" x14ac:dyDescent="0.2">
      <c r="A168" s="157">
        <v>163</v>
      </c>
      <c r="B168" s="163" t="s">
        <v>634</v>
      </c>
      <c r="C168" s="165" t="s">
        <v>568</v>
      </c>
      <c r="D168" s="166">
        <v>4.827792775248782E-2</v>
      </c>
      <c r="E168" s="163"/>
      <c r="F168" s="201">
        <f t="shared" si="9"/>
        <v>1036.0636407394898</v>
      </c>
      <c r="G168" s="132">
        <v>602</v>
      </c>
      <c r="H168" s="131">
        <f>+G171/$F$1</f>
        <v>2.1015451715718253E-2</v>
      </c>
      <c r="I168" s="244"/>
    </row>
    <row r="169" spans="1:9" s="38" customFormat="1" x14ac:dyDescent="0.2">
      <c r="A169" s="157">
        <v>164</v>
      </c>
      <c r="B169" s="163" t="s">
        <v>637</v>
      </c>
      <c r="C169" s="165" t="s">
        <v>568</v>
      </c>
      <c r="D169" s="166">
        <v>4.827792775248782E-2</v>
      </c>
      <c r="E169" s="163"/>
      <c r="F169" s="201">
        <f t="shared" si="9"/>
        <v>1036.0636407394898</v>
      </c>
      <c r="G169" s="132">
        <v>771</v>
      </c>
      <c r="H169" s="131">
        <f>+G172/$F$1</f>
        <v>2.9216603604779033E-2</v>
      </c>
      <c r="I169" s="244"/>
    </row>
    <row r="170" spans="1:9" s="38" customFormat="1" x14ac:dyDescent="0.2">
      <c r="A170" s="157">
        <v>165</v>
      </c>
      <c r="B170" s="163" t="s">
        <v>639</v>
      </c>
      <c r="C170" s="165" t="s">
        <v>568</v>
      </c>
      <c r="D170" s="166">
        <v>4.827792775248782E-2</v>
      </c>
      <c r="E170" s="163"/>
      <c r="F170" s="201">
        <f t="shared" si="9"/>
        <v>1036.0636407394898</v>
      </c>
      <c r="G170" s="132">
        <v>903</v>
      </c>
      <c r="H170" s="131">
        <f>+G173/$F$1</f>
        <v>3.4202531173696669E-2</v>
      </c>
      <c r="I170" s="244"/>
    </row>
    <row r="171" spans="1:9" s="38" customFormat="1" x14ac:dyDescent="0.2">
      <c r="A171" s="157">
        <v>166</v>
      </c>
      <c r="B171" s="163" t="s">
        <v>633</v>
      </c>
      <c r="C171" s="165" t="s">
        <v>568</v>
      </c>
      <c r="D171" s="166">
        <v>4.827792775248782E-2</v>
      </c>
      <c r="E171" s="163"/>
      <c r="F171" s="201">
        <f t="shared" si="9"/>
        <v>1036.0636407394898</v>
      </c>
      <c r="G171" s="132">
        <v>451</v>
      </c>
      <c r="H171" s="131">
        <f>+G167/$F$1</f>
        <v>7.9900928330923059E-3</v>
      </c>
      <c r="I171" s="244"/>
    </row>
    <row r="172" spans="1:9" s="38" customFormat="1" x14ac:dyDescent="0.2">
      <c r="A172" s="157">
        <v>167</v>
      </c>
      <c r="B172" s="163" t="s">
        <v>636</v>
      </c>
      <c r="C172" s="165" t="s">
        <v>568</v>
      </c>
      <c r="D172" s="166">
        <v>4.827792775248782E-2</v>
      </c>
      <c r="E172" s="163"/>
      <c r="F172" s="201">
        <f t="shared" si="9"/>
        <v>1036.0636407394898</v>
      </c>
      <c r="G172" s="132">
        <v>627</v>
      </c>
      <c r="H172" s="131">
        <f>+G281/$F$1</f>
        <v>0</v>
      </c>
      <c r="I172" s="244"/>
    </row>
    <row r="173" spans="1:9" s="38" customFormat="1" x14ac:dyDescent="0.2">
      <c r="A173" s="157">
        <v>168</v>
      </c>
      <c r="B173" s="163" t="s">
        <v>638</v>
      </c>
      <c r="C173" s="165" t="s">
        <v>568</v>
      </c>
      <c r="D173" s="166">
        <v>4.827792775248782E-2</v>
      </c>
      <c r="E173" s="163"/>
      <c r="F173" s="201">
        <f t="shared" si="9"/>
        <v>1036.0636407394898</v>
      </c>
      <c r="G173" s="132">
        <v>734</v>
      </c>
      <c r="H173" s="131">
        <f>+G282/$F$1</f>
        <v>3.3550166818885015E-2</v>
      </c>
      <c r="I173" s="244"/>
    </row>
    <row r="174" spans="1:9" s="38" customFormat="1" x14ac:dyDescent="0.2">
      <c r="A174" s="157">
        <v>171</v>
      </c>
      <c r="B174" s="163" t="s">
        <v>186</v>
      </c>
      <c r="C174" s="165" t="s">
        <v>650</v>
      </c>
      <c r="D174" s="166">
        <v>0.48254004101470732</v>
      </c>
      <c r="E174" s="163"/>
      <c r="F174" s="201">
        <f t="shared" si="9"/>
        <v>10355.502296192026</v>
      </c>
      <c r="G174" s="132"/>
      <c r="H174" s="162">
        <f t="shared" ref="H174:H203" si="11">+G174/$F$1</f>
        <v>0</v>
      </c>
      <c r="I174" s="244"/>
    </row>
    <row r="175" spans="1:9" s="38" customFormat="1" x14ac:dyDescent="0.2">
      <c r="A175" s="157">
        <v>172</v>
      </c>
      <c r="B175" s="163" t="s">
        <v>126</v>
      </c>
      <c r="C175" s="165" t="s">
        <v>650</v>
      </c>
      <c r="D175" s="166">
        <v>0.80416960528846659</v>
      </c>
      <c r="E175" s="163"/>
      <c r="F175" s="201">
        <f t="shared" si="9"/>
        <v>17257.801397332609</v>
      </c>
      <c r="G175" s="132"/>
      <c r="H175" s="162">
        <f t="shared" si="11"/>
        <v>0</v>
      </c>
      <c r="I175" s="244"/>
    </row>
    <row r="176" spans="1:9" s="38" customFormat="1" x14ac:dyDescent="0.2">
      <c r="A176" s="157">
        <v>173</v>
      </c>
      <c r="B176" s="163" t="s">
        <v>317</v>
      </c>
      <c r="C176" s="165" t="s">
        <v>17</v>
      </c>
      <c r="D176" s="166">
        <v>0.90527095448668937</v>
      </c>
      <c r="E176" s="163"/>
      <c r="F176" s="201">
        <f t="shared" si="9"/>
        <v>19427.476791666151</v>
      </c>
      <c r="G176" s="132"/>
      <c r="H176" s="162">
        <f t="shared" si="11"/>
        <v>0</v>
      </c>
      <c r="I176" s="244"/>
    </row>
    <row r="177" spans="1:9" s="38" customFormat="1" x14ac:dyDescent="0.2">
      <c r="A177" s="157">
        <v>174</v>
      </c>
      <c r="B177" s="163" t="s">
        <v>25</v>
      </c>
      <c r="C177" s="165" t="s">
        <v>17</v>
      </c>
      <c r="D177" s="166">
        <v>0.36148636686823138</v>
      </c>
      <c r="E177" s="163"/>
      <c r="F177" s="201">
        <f t="shared" si="9"/>
        <v>7757.6420275389928</v>
      </c>
      <c r="G177" s="132"/>
      <c r="H177" s="162">
        <f t="shared" si="11"/>
        <v>0</v>
      </c>
      <c r="I177" s="244"/>
    </row>
    <row r="178" spans="1:9" s="38" customFormat="1" x14ac:dyDescent="0.2">
      <c r="A178" s="157">
        <v>175</v>
      </c>
      <c r="B178" s="163" t="s">
        <v>456</v>
      </c>
      <c r="C178" s="165" t="s">
        <v>17</v>
      </c>
      <c r="D178" s="166">
        <v>1.0047933427177842</v>
      </c>
      <c r="E178" s="163" t="s">
        <v>458</v>
      </c>
      <c r="F178" s="201">
        <f t="shared" si="9"/>
        <v>21563.267052060739</v>
      </c>
      <c r="G178" s="132"/>
      <c r="H178" s="162">
        <f t="shared" si="11"/>
        <v>0</v>
      </c>
      <c r="I178" s="244"/>
    </row>
    <row r="179" spans="1:9" s="38" customFormat="1" x14ac:dyDescent="0.2">
      <c r="A179" s="157">
        <v>176</v>
      </c>
      <c r="B179" s="163" t="s">
        <v>455</v>
      </c>
      <c r="C179" s="165" t="s">
        <v>17</v>
      </c>
      <c r="D179" s="166">
        <v>1.3367100769288922</v>
      </c>
      <c r="E179" s="163" t="s">
        <v>458</v>
      </c>
      <c r="F179" s="201">
        <f t="shared" si="9"/>
        <v>28686.332934924802</v>
      </c>
      <c r="G179" s="132"/>
      <c r="H179" s="162">
        <f t="shared" si="11"/>
        <v>0</v>
      </c>
      <c r="I179" s="244"/>
    </row>
    <row r="180" spans="1:9" s="38" customFormat="1" x14ac:dyDescent="0.2">
      <c r="A180" s="157">
        <v>177</v>
      </c>
      <c r="B180" s="163" t="s">
        <v>459</v>
      </c>
      <c r="C180" s="165" t="s">
        <v>17</v>
      </c>
      <c r="D180" s="166">
        <v>1.4345099622867565</v>
      </c>
      <c r="E180" s="163" t="s">
        <v>458</v>
      </c>
      <c r="F180" s="201">
        <f t="shared" si="9"/>
        <v>30785.157594658711</v>
      </c>
      <c r="G180" s="132"/>
      <c r="H180" s="162">
        <f t="shared" si="11"/>
        <v>0</v>
      </c>
      <c r="I180" s="244"/>
    </row>
    <row r="181" spans="1:9" s="38" customFormat="1" x14ac:dyDescent="0.2">
      <c r="A181" s="157">
        <v>178</v>
      </c>
      <c r="B181" s="163" t="s">
        <v>350</v>
      </c>
      <c r="C181" s="165" t="s">
        <v>18</v>
      </c>
      <c r="D181" s="166">
        <v>0.29756237135056668</v>
      </c>
      <c r="E181" s="163"/>
      <c r="F181" s="201">
        <f t="shared" si="9"/>
        <v>6385.8075141317013</v>
      </c>
      <c r="G181" s="132"/>
      <c r="H181" s="162">
        <f t="shared" si="11"/>
        <v>0</v>
      </c>
      <c r="I181" s="244"/>
    </row>
    <row r="182" spans="1:9" s="38" customFormat="1" x14ac:dyDescent="0.2">
      <c r="A182" s="157">
        <v>179</v>
      </c>
      <c r="B182" s="163" t="s">
        <v>421</v>
      </c>
      <c r="C182" s="165" t="s">
        <v>17</v>
      </c>
      <c r="D182" s="166">
        <v>6.3971842819698921E-2</v>
      </c>
      <c r="E182" s="163"/>
      <c r="F182" s="201">
        <f t="shared" si="9"/>
        <v>1372.8613356478668</v>
      </c>
      <c r="G182" s="132"/>
      <c r="H182" s="162">
        <f t="shared" si="11"/>
        <v>0</v>
      </c>
      <c r="I182" s="244"/>
    </row>
    <row r="183" spans="1:9" s="38" customFormat="1" x14ac:dyDescent="0.2">
      <c r="A183" s="157">
        <v>180</v>
      </c>
      <c r="B183" s="175" t="s">
        <v>257</v>
      </c>
      <c r="C183" s="165" t="s">
        <v>568</v>
      </c>
      <c r="D183" s="166">
        <v>2.8469144710337218E-2</v>
      </c>
      <c r="E183" s="163"/>
      <c r="F183" s="201">
        <f t="shared" si="9"/>
        <v>610.95923314172092</v>
      </c>
      <c r="G183" s="132"/>
      <c r="H183" s="162">
        <f t="shared" si="11"/>
        <v>0</v>
      </c>
      <c r="I183" s="244"/>
    </row>
    <row r="184" spans="1:9" s="38" customFormat="1" x14ac:dyDescent="0.2">
      <c r="A184" s="157">
        <v>181</v>
      </c>
      <c r="B184" s="163" t="s">
        <v>411</v>
      </c>
      <c r="C184" s="165" t="s">
        <v>396</v>
      </c>
      <c r="D184" s="166">
        <v>1.4895343596260637</v>
      </c>
      <c r="E184" s="163"/>
      <c r="F184" s="201">
        <f t="shared" si="9"/>
        <v>31966.003171319182</v>
      </c>
      <c r="G184" s="132"/>
      <c r="H184" s="162">
        <f t="shared" si="11"/>
        <v>0</v>
      </c>
      <c r="I184" s="244"/>
    </row>
    <row r="185" spans="1:9" s="38" customFormat="1" x14ac:dyDescent="0.2">
      <c r="A185" s="157">
        <v>182</v>
      </c>
      <c r="B185" s="163" t="s">
        <v>413</v>
      </c>
      <c r="C185" s="165" t="s">
        <v>396</v>
      </c>
      <c r="D185" s="166">
        <v>1.0975214140600253</v>
      </c>
      <c r="E185" s="163"/>
      <c r="F185" s="201">
        <f t="shared" si="9"/>
        <v>23553.248554293768</v>
      </c>
      <c r="G185" s="132"/>
      <c r="H185" s="162">
        <f t="shared" si="11"/>
        <v>0</v>
      </c>
      <c r="I185" s="244"/>
    </row>
    <row r="186" spans="1:9" s="38" customFormat="1" x14ac:dyDescent="0.2">
      <c r="A186" s="157">
        <v>183</v>
      </c>
      <c r="B186" s="175" t="s">
        <v>256</v>
      </c>
      <c r="C186" s="165" t="s">
        <v>568</v>
      </c>
      <c r="D186" s="166">
        <v>2.5646153890320586E-2</v>
      </c>
      <c r="E186" s="163"/>
      <c r="F186" s="201">
        <f t="shared" si="9"/>
        <v>550.37672094783591</v>
      </c>
      <c r="G186" s="132"/>
      <c r="H186" s="162">
        <f t="shared" si="11"/>
        <v>0</v>
      </c>
      <c r="I186" s="244"/>
    </row>
    <row r="187" spans="1:9" s="38" customFormat="1" x14ac:dyDescent="0.2">
      <c r="A187" s="157">
        <v>184</v>
      </c>
      <c r="B187" s="163" t="s">
        <v>570</v>
      </c>
      <c r="C187" s="165" t="s">
        <v>568</v>
      </c>
      <c r="D187" s="166">
        <f>+H187</f>
        <v>6.1275651898380266E-2</v>
      </c>
      <c r="E187" s="163"/>
      <c r="F187" s="201">
        <f t="shared" si="9"/>
        <v>1315</v>
      </c>
      <c r="G187" s="132">
        <v>1315</v>
      </c>
      <c r="H187" s="131">
        <f t="shared" si="11"/>
        <v>6.1275651898380266E-2</v>
      </c>
      <c r="I187" s="243"/>
    </row>
    <row r="188" spans="1:9" s="38" customFormat="1" x14ac:dyDescent="0.2">
      <c r="A188" s="157">
        <v>185</v>
      </c>
      <c r="B188" s="163" t="s">
        <v>397</v>
      </c>
      <c r="C188" s="165" t="s">
        <v>396</v>
      </c>
      <c r="D188" s="166">
        <v>0.37598409938458799</v>
      </c>
      <c r="E188" s="163"/>
      <c r="F188" s="201">
        <f t="shared" si="9"/>
        <v>8068.7691664330123</v>
      </c>
      <c r="G188" s="132"/>
      <c r="H188" s="162">
        <f t="shared" si="11"/>
        <v>0</v>
      </c>
      <c r="I188" s="244"/>
    </row>
    <row r="189" spans="1:9" s="38" customFormat="1" x14ac:dyDescent="0.2">
      <c r="A189" s="157">
        <v>186</v>
      </c>
      <c r="B189" s="163" t="s">
        <v>398</v>
      </c>
      <c r="C189" s="165" t="s">
        <v>396</v>
      </c>
      <c r="D189" s="166">
        <v>0.30095952979499346</v>
      </c>
      <c r="E189" s="163"/>
      <c r="F189" s="201">
        <f t="shared" si="9"/>
        <v>6458.7118932124786</v>
      </c>
      <c r="G189" s="132"/>
      <c r="H189" s="162">
        <f t="shared" si="11"/>
        <v>0</v>
      </c>
      <c r="I189" s="244"/>
    </row>
    <row r="190" spans="1:9" s="38" customFormat="1" x14ac:dyDescent="0.2">
      <c r="A190" s="157">
        <v>187</v>
      </c>
      <c r="B190" s="163" t="s">
        <v>486</v>
      </c>
      <c r="C190" s="165" t="s">
        <v>396</v>
      </c>
      <c r="D190" s="166">
        <v>0.67311584501684707</v>
      </c>
      <c r="E190" s="163"/>
      <c r="F190" s="201">
        <f t="shared" si="9"/>
        <v>14445.335280399546</v>
      </c>
      <c r="G190" s="132"/>
      <c r="H190" s="162">
        <f t="shared" si="11"/>
        <v>0</v>
      </c>
      <c r="I190" s="244"/>
    </row>
    <row r="191" spans="1:9" s="38" customFormat="1" x14ac:dyDescent="0.2">
      <c r="A191" s="157">
        <v>188</v>
      </c>
      <c r="B191" s="163" t="s">
        <v>395</v>
      </c>
      <c r="C191" s="165" t="s">
        <v>396</v>
      </c>
      <c r="D191" s="166">
        <v>0.6803886349260424</v>
      </c>
      <c r="E191" s="163"/>
      <c r="F191" s="201">
        <f t="shared" si="9"/>
        <v>14601.412260966841</v>
      </c>
      <c r="G191" s="132"/>
      <c r="H191" s="162">
        <f t="shared" si="11"/>
        <v>0</v>
      </c>
      <c r="I191" s="244"/>
    </row>
    <row r="192" spans="1:9" s="38" customFormat="1" x14ac:dyDescent="0.2">
      <c r="A192" s="157">
        <v>189</v>
      </c>
      <c r="B192" s="175" t="s">
        <v>258</v>
      </c>
      <c r="C192" s="165" t="s">
        <v>568</v>
      </c>
      <c r="D192" s="166">
        <v>2.7416504065585254E-2</v>
      </c>
      <c r="E192" s="163"/>
      <c r="F192" s="201">
        <f t="shared" si="9"/>
        <v>588.36914384908584</v>
      </c>
      <c r="G192" s="132"/>
      <c r="H192" s="162">
        <f t="shared" si="11"/>
        <v>0</v>
      </c>
      <c r="I192" s="244"/>
    </row>
    <row r="193" spans="1:9" s="38" customFormat="1" x14ac:dyDescent="0.2">
      <c r="A193" s="157">
        <v>190</v>
      </c>
      <c r="B193" s="170" t="s">
        <v>331</v>
      </c>
      <c r="C193" s="165" t="s">
        <v>17</v>
      </c>
      <c r="D193" s="166">
        <v>3.9713260688369568E-3</v>
      </c>
      <c r="E193" s="163" t="s">
        <v>311</v>
      </c>
      <c r="F193" s="201">
        <f t="shared" si="9"/>
        <v>85.226245967668632</v>
      </c>
      <c r="G193" s="132"/>
      <c r="H193" s="162">
        <f t="shared" si="11"/>
        <v>0</v>
      </c>
      <c r="I193" s="244"/>
    </row>
    <row r="194" spans="1:9" s="38" customFormat="1" x14ac:dyDescent="0.2">
      <c r="A194" s="157">
        <v>191</v>
      </c>
      <c r="B194" s="163" t="s">
        <v>3</v>
      </c>
      <c r="C194" s="165" t="s">
        <v>17</v>
      </c>
      <c r="D194" s="166">
        <v>0.20062373742931758</v>
      </c>
      <c r="E194" s="163"/>
      <c r="F194" s="201">
        <f t="shared" si="9"/>
        <v>4305.4656547281274</v>
      </c>
      <c r="G194" s="132"/>
      <c r="H194" s="162">
        <f t="shared" si="11"/>
        <v>0</v>
      </c>
      <c r="I194" s="244"/>
    </row>
    <row r="195" spans="1:9" s="38" customFormat="1" x14ac:dyDescent="0.2">
      <c r="A195" s="157">
        <v>192</v>
      </c>
      <c r="B195" s="163" t="s">
        <v>232</v>
      </c>
      <c r="C195" s="165" t="s">
        <v>17</v>
      </c>
      <c r="D195" s="166">
        <v>5.0239667135889211E-2</v>
      </c>
      <c r="E195" s="163"/>
      <c r="F195" s="201">
        <f t="shared" si="9"/>
        <v>1078.1633526030369</v>
      </c>
      <c r="G195" s="132"/>
      <c r="H195" s="162">
        <f t="shared" si="11"/>
        <v>0</v>
      </c>
      <c r="I195" s="244"/>
    </row>
    <row r="196" spans="1:9" s="38" customFormat="1" x14ac:dyDescent="0.2">
      <c r="A196" s="157">
        <v>193</v>
      </c>
      <c r="B196" s="172" t="s">
        <v>283</v>
      </c>
      <c r="C196" s="165" t="s">
        <v>17</v>
      </c>
      <c r="D196" s="166">
        <v>3.1770608550695655E-2</v>
      </c>
      <c r="E196" s="163"/>
      <c r="F196" s="201">
        <f t="shared" ref="F196:F259" si="12">D196*$F$1</f>
        <v>681.80996774134906</v>
      </c>
      <c r="G196" s="132"/>
      <c r="H196" s="162">
        <f t="shared" si="11"/>
        <v>0</v>
      </c>
      <c r="I196" s="244"/>
    </row>
    <row r="197" spans="1:9" s="38" customFormat="1" x14ac:dyDescent="0.2">
      <c r="A197" s="157">
        <v>194</v>
      </c>
      <c r="B197" s="172" t="s">
        <v>284</v>
      </c>
      <c r="C197" s="165" t="s">
        <v>17</v>
      </c>
      <c r="D197" s="166">
        <v>4.0670206729053172E-2</v>
      </c>
      <c r="E197" s="163"/>
      <c r="F197" s="201">
        <f t="shared" si="12"/>
        <v>872.79890448817275</v>
      </c>
      <c r="G197" s="132"/>
      <c r="H197" s="162">
        <f t="shared" si="11"/>
        <v>0</v>
      </c>
      <c r="I197" s="244"/>
    </row>
    <row r="198" spans="1:9" s="38" customFormat="1" x14ac:dyDescent="0.2">
      <c r="A198" s="157">
        <v>195</v>
      </c>
      <c r="B198" s="163" t="s">
        <v>285</v>
      </c>
      <c r="C198" s="165" t="s">
        <v>17</v>
      </c>
      <c r="D198" s="166">
        <v>3.1770608550695655E-2</v>
      </c>
      <c r="E198" s="163"/>
      <c r="F198" s="201">
        <f t="shared" si="12"/>
        <v>681.80996774134906</v>
      </c>
      <c r="G198" s="132"/>
      <c r="H198" s="162">
        <f t="shared" si="11"/>
        <v>0</v>
      </c>
      <c r="I198" s="244"/>
    </row>
    <row r="199" spans="1:9" s="38" customFormat="1" x14ac:dyDescent="0.2">
      <c r="A199" s="157">
        <v>196</v>
      </c>
      <c r="B199" s="163" t="s">
        <v>286</v>
      </c>
      <c r="C199" s="165" t="s">
        <v>17</v>
      </c>
      <c r="D199" s="166">
        <v>5.0239667135889211E-2</v>
      </c>
      <c r="E199" s="163"/>
      <c r="F199" s="201">
        <f t="shared" si="12"/>
        <v>1078.1633526030369</v>
      </c>
      <c r="G199" s="132"/>
      <c r="H199" s="162">
        <f t="shared" si="11"/>
        <v>0</v>
      </c>
      <c r="I199" s="244"/>
    </row>
    <row r="200" spans="1:9" s="38" customFormat="1" x14ac:dyDescent="0.2">
      <c r="A200" s="157">
        <v>197</v>
      </c>
      <c r="B200" s="172" t="s">
        <v>287</v>
      </c>
      <c r="C200" s="165" t="s">
        <v>17</v>
      </c>
      <c r="D200" s="166">
        <v>9.5694604068360403E-2</v>
      </c>
      <c r="E200" s="163"/>
      <c r="F200" s="201">
        <f t="shared" si="12"/>
        <v>2053.6444811486417</v>
      </c>
      <c r="G200" s="132"/>
      <c r="H200" s="162">
        <f t="shared" si="11"/>
        <v>0</v>
      </c>
      <c r="I200" s="244"/>
    </row>
    <row r="201" spans="1:9" s="38" customFormat="1" x14ac:dyDescent="0.2">
      <c r="A201" s="157">
        <v>198</v>
      </c>
      <c r="B201" s="172" t="s">
        <v>288</v>
      </c>
      <c r="C201" s="165" t="s">
        <v>17</v>
      </c>
      <c r="D201" s="166">
        <v>0.12708243420278262</v>
      </c>
      <c r="E201" s="163"/>
      <c r="F201" s="201">
        <f t="shared" si="12"/>
        <v>2727.2398709653962</v>
      </c>
      <c r="G201" s="132"/>
      <c r="H201" s="162">
        <f t="shared" si="11"/>
        <v>0</v>
      </c>
      <c r="I201" s="244"/>
    </row>
    <row r="202" spans="1:9" s="38" customFormat="1" x14ac:dyDescent="0.2">
      <c r="A202" s="157">
        <v>199</v>
      </c>
      <c r="B202" s="172" t="s">
        <v>289</v>
      </c>
      <c r="C202" s="165" t="s">
        <v>17</v>
      </c>
      <c r="D202" s="166">
        <v>7.1483869239065218E-2</v>
      </c>
      <c r="E202" s="163"/>
      <c r="F202" s="201">
        <f t="shared" si="12"/>
        <v>1534.0724274180352</v>
      </c>
      <c r="G202" s="132"/>
      <c r="H202" s="162">
        <f t="shared" si="11"/>
        <v>0</v>
      </c>
      <c r="I202" s="244"/>
    </row>
    <row r="203" spans="1:9" s="38" customFormat="1" x14ac:dyDescent="0.2">
      <c r="A203" s="157">
        <v>200</v>
      </c>
      <c r="B203" s="163" t="s">
        <v>302</v>
      </c>
      <c r="C203" s="165" t="s">
        <v>17</v>
      </c>
      <c r="D203" s="166">
        <v>4.1196527051429149E-2</v>
      </c>
      <c r="E203" s="163"/>
      <c r="F203" s="201">
        <f t="shared" si="12"/>
        <v>884.09394913449023</v>
      </c>
      <c r="G203" s="132"/>
      <c r="H203" s="162">
        <f t="shared" si="11"/>
        <v>0</v>
      </c>
      <c r="I203" s="244"/>
    </row>
    <row r="204" spans="1:9" s="38" customFormat="1" x14ac:dyDescent="0.2">
      <c r="A204" s="157">
        <v>201</v>
      </c>
      <c r="B204" s="172" t="s">
        <v>290</v>
      </c>
      <c r="C204" s="165" t="s">
        <v>17</v>
      </c>
      <c r="D204" s="166">
        <f t="shared" ref="D204:D209" si="13">+H204</f>
        <v>6.4024901679372234E-2</v>
      </c>
      <c r="E204" s="163"/>
      <c r="F204" s="201">
        <f t="shared" si="12"/>
        <v>1374</v>
      </c>
      <c r="G204" s="132">
        <f>1374</f>
        <v>1374</v>
      </c>
      <c r="H204" s="162">
        <f t="shared" ref="H204:H235" si="14">+G204/$F$1</f>
        <v>6.4024901679372234E-2</v>
      </c>
      <c r="I204" s="244"/>
    </row>
    <row r="205" spans="1:9" s="38" customFormat="1" x14ac:dyDescent="0.2">
      <c r="A205" s="157">
        <v>202</v>
      </c>
      <c r="B205" s="172" t="s">
        <v>291</v>
      </c>
      <c r="C205" s="165" t="s">
        <v>17</v>
      </c>
      <c r="D205" s="166">
        <f t="shared" si="13"/>
        <v>8.0147620734003083E-2</v>
      </c>
      <c r="E205" s="163"/>
      <c r="F205" s="201">
        <f t="shared" si="12"/>
        <v>1719.9999999999998</v>
      </c>
      <c r="G205" s="132">
        <v>1720</v>
      </c>
      <c r="H205" s="162">
        <f t="shared" si="14"/>
        <v>8.0147620734003083E-2</v>
      </c>
      <c r="I205" s="244"/>
    </row>
    <row r="206" spans="1:9" s="38" customFormat="1" x14ac:dyDescent="0.2">
      <c r="A206" s="157">
        <v>203</v>
      </c>
      <c r="B206" s="172" t="s">
        <v>604</v>
      </c>
      <c r="C206" s="165" t="s">
        <v>17</v>
      </c>
      <c r="D206" s="166">
        <f t="shared" si="13"/>
        <v>9.0026280964008124E-2</v>
      </c>
      <c r="E206" s="163"/>
      <c r="F206" s="201">
        <f t="shared" si="12"/>
        <v>1932</v>
      </c>
      <c r="G206" s="132">
        <v>1932</v>
      </c>
      <c r="H206" s="162">
        <f t="shared" si="14"/>
        <v>9.0026280964008124E-2</v>
      </c>
      <c r="I206" s="244"/>
    </row>
    <row r="207" spans="1:9" s="38" customFormat="1" x14ac:dyDescent="0.2">
      <c r="A207" s="157">
        <v>204</v>
      </c>
      <c r="B207" s="163" t="s">
        <v>292</v>
      </c>
      <c r="C207" s="165" t="s">
        <v>17</v>
      </c>
      <c r="D207" s="166">
        <f t="shared" si="13"/>
        <v>5.2655122924083426E-2</v>
      </c>
      <c r="E207" s="163"/>
      <c r="F207" s="201">
        <f t="shared" si="12"/>
        <v>1130</v>
      </c>
      <c r="G207" s="132">
        <v>1130</v>
      </c>
      <c r="H207" s="162">
        <f t="shared" si="14"/>
        <v>5.2655122924083426E-2</v>
      </c>
      <c r="I207" s="244"/>
    </row>
    <row r="208" spans="1:9" s="38" customFormat="1" x14ac:dyDescent="0.2">
      <c r="A208" s="157">
        <v>205</v>
      </c>
      <c r="B208" s="163" t="s">
        <v>293</v>
      </c>
      <c r="C208" s="165" t="s">
        <v>17</v>
      </c>
      <c r="D208" s="166">
        <f t="shared" si="13"/>
        <v>8.5273340664666075E-2</v>
      </c>
      <c r="E208" s="163"/>
      <c r="F208" s="201">
        <f t="shared" si="12"/>
        <v>1830</v>
      </c>
      <c r="G208" s="132">
        <v>1830</v>
      </c>
      <c r="H208" s="162">
        <f t="shared" si="14"/>
        <v>8.5273340664666075E-2</v>
      </c>
      <c r="I208" s="244"/>
    </row>
    <row r="209" spans="1:9" s="38" customFormat="1" x14ac:dyDescent="0.2">
      <c r="A209" s="157">
        <v>206</v>
      </c>
      <c r="B209" s="172" t="s">
        <v>294</v>
      </c>
      <c r="C209" s="165" t="s">
        <v>17</v>
      </c>
      <c r="D209" s="166">
        <f t="shared" si="13"/>
        <v>0.13606456543214479</v>
      </c>
      <c r="E209" s="163"/>
      <c r="F209" s="201">
        <f t="shared" si="12"/>
        <v>2920.0000000000005</v>
      </c>
      <c r="G209" s="132">
        <v>2920</v>
      </c>
      <c r="H209" s="162">
        <f t="shared" si="14"/>
        <v>0.13606456543214479</v>
      </c>
      <c r="I209" s="244"/>
    </row>
    <row r="210" spans="1:9" s="38" customFormat="1" x14ac:dyDescent="0.2">
      <c r="A210" s="157">
        <v>207</v>
      </c>
      <c r="B210" s="172" t="s">
        <v>295</v>
      </c>
      <c r="C210" s="165" t="s">
        <v>17</v>
      </c>
      <c r="D210" s="166">
        <v>0.16521673392402422</v>
      </c>
      <c r="E210" s="163"/>
      <c r="F210" s="201">
        <f t="shared" si="12"/>
        <v>3545.6171967031296</v>
      </c>
      <c r="G210" s="132"/>
      <c r="H210" s="162">
        <f t="shared" si="14"/>
        <v>0</v>
      </c>
      <c r="I210" s="244"/>
    </row>
    <row r="211" spans="1:9" s="38" customFormat="1" x14ac:dyDescent="0.2">
      <c r="A211" s="157">
        <v>208</v>
      </c>
      <c r="B211" s="172" t="s">
        <v>409</v>
      </c>
      <c r="C211" s="165" t="s">
        <v>17</v>
      </c>
      <c r="D211" s="166">
        <v>0.40976429462071923</v>
      </c>
      <c r="E211" s="163"/>
      <c r="F211" s="201">
        <f t="shared" si="12"/>
        <v>8793.7056682784842</v>
      </c>
      <c r="G211" s="132"/>
      <c r="H211" s="162">
        <f t="shared" si="14"/>
        <v>0</v>
      </c>
      <c r="I211" s="244"/>
    </row>
    <row r="212" spans="1:9" s="38" customFormat="1" x14ac:dyDescent="0.2">
      <c r="A212" s="157">
        <v>209</v>
      </c>
      <c r="B212" s="163" t="s">
        <v>465</v>
      </c>
      <c r="C212" s="165" t="s">
        <v>568</v>
      </c>
      <c r="D212" s="166">
        <v>1.7493930569736964E-2</v>
      </c>
      <c r="E212" s="163" t="s">
        <v>464</v>
      </c>
      <c r="F212" s="201">
        <f t="shared" si="12"/>
        <v>375.42674759878315</v>
      </c>
      <c r="G212" s="132"/>
      <c r="H212" s="162">
        <f t="shared" si="14"/>
        <v>0</v>
      </c>
      <c r="I212" s="244"/>
    </row>
    <row r="213" spans="1:9" s="38" customFormat="1" x14ac:dyDescent="0.2">
      <c r="A213" s="157">
        <v>210</v>
      </c>
      <c r="B213" s="163" t="s">
        <v>334</v>
      </c>
      <c r="C213" s="165" t="s">
        <v>17</v>
      </c>
      <c r="D213" s="166">
        <v>7.2775746393988081E-2</v>
      </c>
      <c r="E213" s="163" t="s">
        <v>333</v>
      </c>
      <c r="F213" s="201">
        <f t="shared" si="12"/>
        <v>1561.7966279135419</v>
      </c>
      <c r="G213" s="132"/>
      <c r="H213" s="162">
        <f t="shared" si="14"/>
        <v>0</v>
      </c>
      <c r="I213" s="244"/>
    </row>
    <row r="214" spans="1:9" s="38" customFormat="1" x14ac:dyDescent="0.2">
      <c r="A214" s="157">
        <v>211</v>
      </c>
      <c r="B214" s="163" t="s">
        <v>376</v>
      </c>
      <c r="C214" s="165" t="s">
        <v>17</v>
      </c>
      <c r="D214" s="166">
        <v>3.2153386966969094E-2</v>
      </c>
      <c r="E214" s="163" t="s">
        <v>312</v>
      </c>
      <c r="F214" s="201">
        <f t="shared" si="12"/>
        <v>690.02454566594361</v>
      </c>
      <c r="G214" s="132"/>
      <c r="H214" s="162">
        <f t="shared" si="14"/>
        <v>0</v>
      </c>
      <c r="I214" s="244"/>
    </row>
    <row r="215" spans="1:9" s="38" customFormat="1" x14ac:dyDescent="0.2">
      <c r="A215" s="157">
        <v>212</v>
      </c>
      <c r="B215" s="163" t="s">
        <v>383</v>
      </c>
      <c r="C215" s="165" t="s">
        <v>17</v>
      </c>
      <c r="D215" s="166">
        <v>4.3828128663309061E-2</v>
      </c>
      <c r="E215" s="163" t="s">
        <v>312</v>
      </c>
      <c r="F215" s="201">
        <f t="shared" si="12"/>
        <v>940.56917236607785</v>
      </c>
      <c r="G215" s="132"/>
      <c r="H215" s="162">
        <f t="shared" si="14"/>
        <v>0</v>
      </c>
      <c r="I215" s="244"/>
    </row>
    <row r="216" spans="1:9" s="38" customFormat="1" x14ac:dyDescent="0.2">
      <c r="A216" s="157">
        <v>213</v>
      </c>
      <c r="B216" s="163" t="s">
        <v>471</v>
      </c>
      <c r="C216" s="165" t="s">
        <v>17</v>
      </c>
      <c r="D216" s="166">
        <v>4.2966877226693817E-2</v>
      </c>
      <c r="E216" s="163"/>
      <c r="F216" s="201">
        <f t="shared" si="12"/>
        <v>922.08637203574006</v>
      </c>
      <c r="G216" s="132"/>
      <c r="H216" s="162">
        <f t="shared" si="14"/>
        <v>0</v>
      </c>
      <c r="I216" s="244"/>
    </row>
    <row r="217" spans="1:9" s="38" customFormat="1" x14ac:dyDescent="0.2">
      <c r="A217" s="157">
        <v>214</v>
      </c>
      <c r="B217" s="163" t="s">
        <v>52</v>
      </c>
      <c r="C217" s="165" t="s">
        <v>595</v>
      </c>
      <c r="D217" s="166">
        <v>0.33009853673380918</v>
      </c>
      <c r="E217" s="163"/>
      <c r="F217" s="201">
        <f t="shared" si="12"/>
        <v>7084.0466377222392</v>
      </c>
      <c r="G217" s="132"/>
      <c r="H217" s="162">
        <f t="shared" si="14"/>
        <v>0</v>
      </c>
      <c r="I217" s="244"/>
    </row>
    <row r="218" spans="1:9" s="38" customFormat="1" x14ac:dyDescent="0.2">
      <c r="A218" s="157">
        <v>215</v>
      </c>
      <c r="B218" s="163" t="s">
        <v>51</v>
      </c>
      <c r="C218" s="165" t="s">
        <v>595</v>
      </c>
      <c r="D218" s="166">
        <v>0.31320843911574359</v>
      </c>
      <c r="E218" s="163"/>
      <c r="F218" s="201">
        <f t="shared" si="12"/>
        <v>6721.5783867995042</v>
      </c>
      <c r="G218" s="132"/>
      <c r="H218" s="162">
        <f t="shared" si="14"/>
        <v>0</v>
      </c>
      <c r="I218" s="244"/>
    </row>
    <row r="219" spans="1:9" s="38" customFormat="1" x14ac:dyDescent="0.2">
      <c r="A219" s="157">
        <v>216</v>
      </c>
      <c r="B219" s="163" t="s">
        <v>280</v>
      </c>
      <c r="C219" s="165" t="s">
        <v>595</v>
      </c>
      <c r="D219" s="166">
        <v>0.33454833582298793</v>
      </c>
      <c r="E219" s="163"/>
      <c r="F219" s="201">
        <f t="shared" si="12"/>
        <v>7179.5411060956503</v>
      </c>
      <c r="G219" s="132"/>
      <c r="H219" s="162">
        <f t="shared" si="14"/>
        <v>0</v>
      </c>
      <c r="I219" s="244"/>
    </row>
    <row r="220" spans="1:9" s="38" customFormat="1" x14ac:dyDescent="0.2">
      <c r="A220" s="157">
        <v>217</v>
      </c>
      <c r="B220" s="163" t="s">
        <v>50</v>
      </c>
      <c r="C220" s="165" t="s">
        <v>595</v>
      </c>
      <c r="D220" s="166">
        <v>0.41780264136246148</v>
      </c>
      <c r="E220" s="163"/>
      <c r="F220" s="201">
        <f t="shared" si="12"/>
        <v>8966.211804694969</v>
      </c>
      <c r="G220" s="132"/>
      <c r="H220" s="162">
        <f t="shared" si="14"/>
        <v>0</v>
      </c>
      <c r="I220" s="244"/>
    </row>
    <row r="221" spans="1:9" s="38" customFormat="1" x14ac:dyDescent="0.2">
      <c r="A221" s="157">
        <v>218</v>
      </c>
      <c r="B221" s="163" t="s">
        <v>49</v>
      </c>
      <c r="C221" s="165" t="s">
        <v>595</v>
      </c>
      <c r="D221" s="166">
        <v>0.51024362889249764</v>
      </c>
      <c r="E221" s="163"/>
      <c r="F221" s="201">
        <f t="shared" si="12"/>
        <v>10950.032373484557</v>
      </c>
      <c r="G221" s="132"/>
      <c r="H221" s="162">
        <f t="shared" si="14"/>
        <v>0</v>
      </c>
      <c r="I221" s="244"/>
    </row>
    <row r="222" spans="1:9" s="38" customFormat="1" x14ac:dyDescent="0.2">
      <c r="A222" s="157">
        <v>219</v>
      </c>
      <c r="B222" s="163" t="s">
        <v>59</v>
      </c>
      <c r="C222" s="165" t="s">
        <v>595</v>
      </c>
      <c r="D222" s="166">
        <v>0.49454971382528656</v>
      </c>
      <c r="E222" s="163"/>
      <c r="F222" s="201">
        <f t="shared" si="12"/>
        <v>10613.23467857618</v>
      </c>
      <c r="G222" s="132"/>
      <c r="H222" s="162">
        <f t="shared" si="14"/>
        <v>0</v>
      </c>
      <c r="I222" s="244"/>
    </row>
    <row r="223" spans="1:9" s="38" customFormat="1" x14ac:dyDescent="0.2">
      <c r="A223" s="157">
        <v>220</v>
      </c>
      <c r="B223" s="163" t="s">
        <v>92</v>
      </c>
      <c r="C223" s="165" t="s">
        <v>595</v>
      </c>
      <c r="D223" s="166">
        <v>0.21201139531345245</v>
      </c>
      <c r="E223" s="163"/>
      <c r="F223" s="201">
        <f t="shared" si="12"/>
        <v>4549.8493479848148</v>
      </c>
      <c r="G223" s="132"/>
      <c r="H223" s="162">
        <f t="shared" si="14"/>
        <v>0</v>
      </c>
      <c r="I223" s="244"/>
    </row>
    <row r="224" spans="1:9" s="38" customFormat="1" x14ac:dyDescent="0.2">
      <c r="A224" s="157">
        <v>221</v>
      </c>
      <c r="B224" s="163" t="s">
        <v>81</v>
      </c>
      <c r="C224" s="165" t="s">
        <v>595</v>
      </c>
      <c r="D224" s="166">
        <v>0.43387933484594604</v>
      </c>
      <c r="E224" s="163"/>
      <c r="F224" s="201">
        <f t="shared" si="12"/>
        <v>9311.2240775279406</v>
      </c>
      <c r="G224" s="132"/>
      <c r="H224" s="162">
        <f t="shared" si="14"/>
        <v>0</v>
      </c>
      <c r="I224" s="244"/>
    </row>
    <row r="225" spans="1:9" s="38" customFormat="1" x14ac:dyDescent="0.2">
      <c r="A225" s="157">
        <v>222</v>
      </c>
      <c r="B225" s="163" t="s">
        <v>82</v>
      </c>
      <c r="C225" s="165" t="s">
        <v>595</v>
      </c>
      <c r="D225" s="166">
        <v>0.43828128663309063</v>
      </c>
      <c r="E225" s="163"/>
      <c r="F225" s="201">
        <f t="shared" si="12"/>
        <v>9405.6917236607787</v>
      </c>
      <c r="G225" s="132"/>
      <c r="H225" s="162">
        <f t="shared" si="14"/>
        <v>0</v>
      </c>
      <c r="I225" s="244"/>
    </row>
    <row r="226" spans="1:9" s="38" customFormat="1" x14ac:dyDescent="0.2">
      <c r="A226" s="157">
        <v>223</v>
      </c>
      <c r="B226" s="170" t="s">
        <v>252</v>
      </c>
      <c r="C226" s="165" t="s">
        <v>568</v>
      </c>
      <c r="D226" s="166">
        <v>0.17248952383321961</v>
      </c>
      <c r="E226" s="163"/>
      <c r="F226" s="201">
        <f t="shared" si="12"/>
        <v>3701.6941772704263</v>
      </c>
      <c r="G226" s="132"/>
      <c r="H226" s="162">
        <f t="shared" si="14"/>
        <v>0</v>
      </c>
      <c r="I226" s="244"/>
    </row>
    <row r="227" spans="1:9" s="38" customFormat="1" x14ac:dyDescent="0.2">
      <c r="A227" s="157">
        <v>224</v>
      </c>
      <c r="B227" s="170" t="s">
        <v>250</v>
      </c>
      <c r="C227" s="165" t="s">
        <v>38</v>
      </c>
      <c r="D227" s="166">
        <v>0.28105505214877446</v>
      </c>
      <c r="E227" s="163"/>
      <c r="F227" s="201">
        <f t="shared" si="12"/>
        <v>6031.5538411335601</v>
      </c>
      <c r="G227" s="132"/>
      <c r="H227" s="162">
        <f t="shared" si="14"/>
        <v>0</v>
      </c>
      <c r="I227" s="244"/>
    </row>
    <row r="228" spans="1:9" s="38" customFormat="1" x14ac:dyDescent="0.2">
      <c r="A228" s="157">
        <v>225</v>
      </c>
      <c r="B228" s="163" t="s">
        <v>5</v>
      </c>
      <c r="C228" s="165" t="s">
        <v>650</v>
      </c>
      <c r="D228" s="166">
        <v>0.2153128591538109</v>
      </c>
      <c r="E228" s="163"/>
      <c r="F228" s="201">
        <f t="shared" si="12"/>
        <v>4620.7000825844434</v>
      </c>
      <c r="G228" s="132"/>
      <c r="H228" s="162">
        <f t="shared" si="14"/>
        <v>0</v>
      </c>
      <c r="I228" s="244"/>
    </row>
    <row r="229" spans="1:9" s="38" customFormat="1" x14ac:dyDescent="0.2">
      <c r="A229" s="157">
        <v>226</v>
      </c>
      <c r="B229" s="158" t="s">
        <v>569</v>
      </c>
      <c r="C229" s="165" t="s">
        <v>17</v>
      </c>
      <c r="D229" s="166">
        <f>+H229</f>
        <v>3.2152243201431473E-2</v>
      </c>
      <c r="E229" s="163"/>
      <c r="F229" s="201">
        <f t="shared" si="12"/>
        <v>690</v>
      </c>
      <c r="G229" s="132">
        <v>690</v>
      </c>
      <c r="H229" s="131">
        <f t="shared" si="14"/>
        <v>3.2152243201431473E-2</v>
      </c>
      <c r="I229" s="244"/>
    </row>
    <row r="230" spans="1:9" s="38" customFormat="1" x14ac:dyDescent="0.2">
      <c r="A230" s="157">
        <v>227</v>
      </c>
      <c r="B230" s="158" t="s">
        <v>613</v>
      </c>
      <c r="C230" s="165" t="s">
        <v>17</v>
      </c>
      <c r="D230" s="166">
        <f>+H230</f>
        <v>0.27716165588712233</v>
      </c>
      <c r="E230" s="163"/>
      <c r="F230" s="201">
        <f t="shared" si="12"/>
        <v>5948</v>
      </c>
      <c r="G230" s="132">
        <v>5948</v>
      </c>
      <c r="H230" s="131">
        <f t="shared" si="14"/>
        <v>0.27716165588712233</v>
      </c>
      <c r="I230" s="244"/>
    </row>
    <row r="231" spans="1:9" s="38" customFormat="1" x14ac:dyDescent="0.2">
      <c r="A231" s="157">
        <v>228</v>
      </c>
      <c r="B231" s="158" t="s">
        <v>614</v>
      </c>
      <c r="C231" s="165" t="s">
        <v>17</v>
      </c>
      <c r="D231" s="166">
        <f>+H231</f>
        <v>0.33214665150696165</v>
      </c>
      <c r="E231" s="163"/>
      <c r="F231" s="201">
        <f t="shared" si="12"/>
        <v>7128</v>
      </c>
      <c r="G231" s="132">
        <v>7128</v>
      </c>
      <c r="H231" s="131">
        <f t="shared" si="14"/>
        <v>0.33214665150696165</v>
      </c>
      <c r="I231" s="244"/>
    </row>
    <row r="232" spans="1:9" s="38" customFormat="1" x14ac:dyDescent="0.2">
      <c r="A232" s="157">
        <v>229</v>
      </c>
      <c r="B232" s="158" t="s">
        <v>615</v>
      </c>
      <c r="C232" s="165" t="s">
        <v>17</v>
      </c>
      <c r="D232" s="166">
        <f>+H232</f>
        <v>0.40977800972954836</v>
      </c>
      <c r="E232" s="163"/>
      <c r="F232" s="201">
        <f t="shared" si="12"/>
        <v>8794</v>
      </c>
      <c r="G232" s="132">
        <v>8794</v>
      </c>
      <c r="H232" s="131">
        <f t="shared" si="14"/>
        <v>0.40977800972954836</v>
      </c>
      <c r="I232" s="244"/>
    </row>
    <row r="233" spans="1:9" s="38" customFormat="1" x14ac:dyDescent="0.2">
      <c r="A233" s="157">
        <v>230</v>
      </c>
      <c r="B233" s="163" t="s">
        <v>491</v>
      </c>
      <c r="C233" s="165" t="s">
        <v>17</v>
      </c>
      <c r="D233" s="166">
        <v>0.28650964458067102</v>
      </c>
      <c r="E233" s="163" t="s">
        <v>494</v>
      </c>
      <c r="F233" s="201">
        <f t="shared" si="12"/>
        <v>6148.611576559033</v>
      </c>
      <c r="G233" s="132"/>
      <c r="H233" s="162">
        <f t="shared" si="14"/>
        <v>0</v>
      </c>
      <c r="I233" s="244"/>
    </row>
    <row r="234" spans="1:9" s="38" customFormat="1" x14ac:dyDescent="0.2">
      <c r="A234" s="157">
        <v>231</v>
      </c>
      <c r="B234" s="172" t="s">
        <v>26</v>
      </c>
      <c r="C234" s="165" t="s">
        <v>31</v>
      </c>
      <c r="D234" s="166">
        <v>0.15559942621515402</v>
      </c>
      <c r="E234" s="163"/>
      <c r="F234" s="201">
        <f t="shared" si="12"/>
        <v>3339.2259263476917</v>
      </c>
      <c r="G234" s="132"/>
      <c r="H234" s="162">
        <f t="shared" si="14"/>
        <v>0</v>
      </c>
      <c r="I234" s="244"/>
    </row>
    <row r="235" spans="1:9" s="38" customFormat="1" x14ac:dyDescent="0.2">
      <c r="A235" s="157">
        <v>232</v>
      </c>
      <c r="B235" s="172" t="s">
        <v>27</v>
      </c>
      <c r="C235" s="165" t="s">
        <v>31</v>
      </c>
      <c r="D235" s="166">
        <v>0.19062365130417391</v>
      </c>
      <c r="E235" s="163"/>
      <c r="F235" s="201">
        <f t="shared" si="12"/>
        <v>4090.8598064480943</v>
      </c>
      <c r="G235" s="132"/>
      <c r="H235" s="162">
        <f t="shared" si="14"/>
        <v>0</v>
      </c>
      <c r="I235" s="244"/>
    </row>
    <row r="236" spans="1:9" s="38" customFormat="1" x14ac:dyDescent="0.2">
      <c r="A236" s="157">
        <v>233</v>
      </c>
      <c r="B236" s="172" t="s">
        <v>34</v>
      </c>
      <c r="C236" s="165" t="s">
        <v>31</v>
      </c>
      <c r="D236" s="166">
        <v>0.29512215894682348</v>
      </c>
      <c r="E236" s="163"/>
      <c r="F236" s="201">
        <f t="shared" si="12"/>
        <v>6333.4395798624109</v>
      </c>
      <c r="G236" s="132"/>
      <c r="H236" s="162">
        <f t="shared" ref="H236:H267" si="15">+G236/$F$1</f>
        <v>0</v>
      </c>
      <c r="I236" s="244"/>
    </row>
    <row r="237" spans="1:9" s="38" customFormat="1" x14ac:dyDescent="0.2">
      <c r="A237" s="157">
        <v>234</v>
      </c>
      <c r="B237" s="172" t="s">
        <v>28</v>
      </c>
      <c r="C237" s="165" t="s">
        <v>31</v>
      </c>
      <c r="D237" s="166">
        <v>0.39191725096197</v>
      </c>
      <c r="E237" s="163"/>
      <c r="F237" s="201">
        <f t="shared" si="12"/>
        <v>8410.7009725442622</v>
      </c>
      <c r="G237" s="132"/>
      <c r="H237" s="162">
        <f t="shared" si="15"/>
        <v>0</v>
      </c>
      <c r="I237" s="244"/>
    </row>
    <row r="238" spans="1:9" s="38" customFormat="1" x14ac:dyDescent="0.2">
      <c r="A238" s="157">
        <v>235</v>
      </c>
      <c r="B238" s="172" t="s">
        <v>35</v>
      </c>
      <c r="C238" s="165" t="s">
        <v>31</v>
      </c>
      <c r="D238" s="166">
        <v>0.52842560366548608</v>
      </c>
      <c r="E238" s="163"/>
      <c r="F238" s="201">
        <f t="shared" si="12"/>
        <v>11340.224824902798</v>
      </c>
      <c r="G238" s="132"/>
      <c r="H238" s="162">
        <f t="shared" si="15"/>
        <v>0</v>
      </c>
      <c r="I238" s="244"/>
    </row>
    <row r="239" spans="1:9" s="38" customFormat="1" x14ac:dyDescent="0.2">
      <c r="A239" s="157">
        <v>236</v>
      </c>
      <c r="B239" s="163" t="s">
        <v>304</v>
      </c>
      <c r="C239" s="165" t="s">
        <v>31</v>
      </c>
      <c r="D239" s="166">
        <v>0.27512198669653615</v>
      </c>
      <c r="E239" s="163"/>
      <c r="F239" s="201">
        <f t="shared" si="12"/>
        <v>5904.2278833023447</v>
      </c>
      <c r="G239" s="132"/>
      <c r="H239" s="162">
        <f t="shared" si="15"/>
        <v>0</v>
      </c>
      <c r="I239" s="244"/>
    </row>
    <row r="240" spans="1:9" s="38" customFormat="1" x14ac:dyDescent="0.2">
      <c r="A240" s="157">
        <v>237</v>
      </c>
      <c r="B240" s="172" t="s">
        <v>29</v>
      </c>
      <c r="C240" s="165" t="s">
        <v>31</v>
      </c>
      <c r="D240" s="166">
        <v>0.21550424836194762</v>
      </c>
      <c r="E240" s="163"/>
      <c r="F240" s="201">
        <f t="shared" si="12"/>
        <v>4624.8073715467408</v>
      </c>
      <c r="G240" s="132"/>
      <c r="H240" s="162">
        <f t="shared" si="15"/>
        <v>0</v>
      </c>
      <c r="I240" s="244"/>
    </row>
    <row r="241" spans="1:9" s="38" customFormat="1" ht="12" customHeight="1" x14ac:dyDescent="0.2">
      <c r="A241" s="157">
        <v>238</v>
      </c>
      <c r="B241" s="172" t="s">
        <v>30</v>
      </c>
      <c r="C241" s="165" t="s">
        <v>31</v>
      </c>
      <c r="D241" s="166">
        <v>0.34722787086204571</v>
      </c>
      <c r="E241" s="163"/>
      <c r="F241" s="201">
        <f t="shared" si="12"/>
        <v>7451.6489998478464</v>
      </c>
      <c r="G241" s="132"/>
      <c r="H241" s="162">
        <f t="shared" si="15"/>
        <v>0</v>
      </c>
      <c r="I241" s="244"/>
    </row>
    <row r="242" spans="1:9" s="38" customFormat="1" x14ac:dyDescent="0.2">
      <c r="A242" s="157">
        <v>239</v>
      </c>
      <c r="B242" s="163" t="s">
        <v>117</v>
      </c>
      <c r="C242" s="165" t="s">
        <v>38</v>
      </c>
      <c r="D242" s="166">
        <v>0.12909202088821817</v>
      </c>
      <c r="E242" s="163" t="s">
        <v>119</v>
      </c>
      <c r="F242" s="201">
        <f t="shared" si="12"/>
        <v>2770.3664050695174</v>
      </c>
      <c r="G242" s="132"/>
      <c r="H242" s="162">
        <f t="shared" si="15"/>
        <v>0</v>
      </c>
      <c r="I242" s="244"/>
    </row>
    <row r="243" spans="1:9" s="38" customFormat="1" x14ac:dyDescent="0.2">
      <c r="A243" s="157">
        <v>240</v>
      </c>
      <c r="B243" s="163" t="s">
        <v>115</v>
      </c>
      <c r="C243" s="165" t="s">
        <v>38</v>
      </c>
      <c r="D243" s="166">
        <v>0.12028811731392902</v>
      </c>
      <c r="E243" s="163" t="s">
        <v>118</v>
      </c>
      <c r="F243" s="201">
        <f t="shared" si="12"/>
        <v>2581.4311128038426</v>
      </c>
      <c r="G243" s="132"/>
      <c r="H243" s="162">
        <f t="shared" si="15"/>
        <v>0</v>
      </c>
      <c r="I243" s="244"/>
    </row>
    <row r="244" spans="1:9" s="38" customFormat="1" x14ac:dyDescent="0.2">
      <c r="A244" s="157">
        <v>241</v>
      </c>
      <c r="B244" s="163" t="s">
        <v>116</v>
      </c>
      <c r="C244" s="165" t="s">
        <v>38</v>
      </c>
      <c r="D244" s="166">
        <v>0.14861372011816371</v>
      </c>
      <c r="E244" s="163" t="s">
        <v>120</v>
      </c>
      <c r="F244" s="201">
        <f t="shared" si="12"/>
        <v>3189.3098792238407</v>
      </c>
      <c r="G244" s="132"/>
      <c r="H244" s="162">
        <f t="shared" si="15"/>
        <v>0</v>
      </c>
      <c r="I244" s="244"/>
    </row>
    <row r="245" spans="1:9" s="38" customFormat="1" x14ac:dyDescent="0.2">
      <c r="A245" s="157">
        <v>242</v>
      </c>
      <c r="B245" s="163" t="s">
        <v>172</v>
      </c>
      <c r="C245" s="165" t="s">
        <v>38</v>
      </c>
      <c r="D245" s="166">
        <v>0.14445100484119003</v>
      </c>
      <c r="E245" s="163"/>
      <c r="F245" s="201">
        <f t="shared" si="12"/>
        <v>3099.9763442938747</v>
      </c>
      <c r="G245" s="132"/>
      <c r="H245" s="162">
        <f t="shared" si="15"/>
        <v>0</v>
      </c>
      <c r="I245" s="244"/>
    </row>
    <row r="246" spans="1:9" s="38" customFormat="1" x14ac:dyDescent="0.2">
      <c r="A246" s="157">
        <v>243</v>
      </c>
      <c r="B246" s="163" t="s">
        <v>171</v>
      </c>
      <c r="C246" s="165" t="s">
        <v>38</v>
      </c>
      <c r="D246" s="166">
        <v>7.2249426071612097E-2</v>
      </c>
      <c r="E246" s="163"/>
      <c r="F246" s="201">
        <f t="shared" si="12"/>
        <v>1550.5015832672243</v>
      </c>
      <c r="G246" s="132"/>
      <c r="H246" s="162">
        <f t="shared" si="15"/>
        <v>0</v>
      </c>
      <c r="I246" s="244"/>
    </row>
    <row r="247" spans="1:9" s="38" customFormat="1" x14ac:dyDescent="0.2">
      <c r="A247" s="157">
        <v>244</v>
      </c>
      <c r="B247" s="163" t="s">
        <v>173</v>
      </c>
      <c r="C247" s="165" t="s">
        <v>38</v>
      </c>
      <c r="D247" s="166">
        <v>0.13091021836551703</v>
      </c>
      <c r="E247" s="163"/>
      <c r="F247" s="201">
        <f t="shared" si="12"/>
        <v>2809.3856502113417</v>
      </c>
      <c r="G247" s="132"/>
      <c r="H247" s="162">
        <f t="shared" si="15"/>
        <v>0</v>
      </c>
      <c r="I247" s="244"/>
    </row>
    <row r="248" spans="1:9" s="38" customFormat="1" x14ac:dyDescent="0.2">
      <c r="A248" s="157">
        <v>245</v>
      </c>
      <c r="B248" s="163" t="s">
        <v>365</v>
      </c>
      <c r="C248" s="165" t="s">
        <v>38</v>
      </c>
      <c r="D248" s="166">
        <v>6.8900114929219486E-3</v>
      </c>
      <c r="E248" s="163"/>
      <c r="F248" s="201">
        <f t="shared" si="12"/>
        <v>147.86240264270219</v>
      </c>
      <c r="G248" s="132"/>
      <c r="H248" s="162">
        <f t="shared" si="15"/>
        <v>0</v>
      </c>
      <c r="I248" s="244"/>
    </row>
    <row r="249" spans="1:9" s="38" customFormat="1" x14ac:dyDescent="0.2">
      <c r="A249" s="157">
        <v>246</v>
      </c>
      <c r="B249" s="163" t="s">
        <v>175</v>
      </c>
      <c r="C249" s="165" t="s">
        <v>38</v>
      </c>
      <c r="D249" s="166">
        <f>+H249</f>
        <v>1.1008648487446645E-2</v>
      </c>
      <c r="E249" s="163"/>
      <c r="F249" s="201">
        <f t="shared" si="12"/>
        <v>236.25</v>
      </c>
      <c r="G249" s="132">
        <f>9450/40</f>
        <v>236.25</v>
      </c>
      <c r="H249" s="131">
        <f t="shared" si="15"/>
        <v>1.1008648487446645E-2</v>
      </c>
      <c r="I249" s="243"/>
    </row>
    <row r="250" spans="1:9" s="38" customFormat="1" x14ac:dyDescent="0.2">
      <c r="A250" s="157">
        <v>247</v>
      </c>
      <c r="B250" s="163" t="s">
        <v>492</v>
      </c>
      <c r="C250" s="165" t="s">
        <v>17</v>
      </c>
      <c r="D250" s="166">
        <v>0.27263392699075878</v>
      </c>
      <c r="E250" s="163" t="s">
        <v>493</v>
      </c>
      <c r="F250" s="201">
        <f t="shared" si="12"/>
        <v>5850.8331267924805</v>
      </c>
      <c r="G250" s="132"/>
      <c r="H250" s="162">
        <f t="shared" si="15"/>
        <v>0</v>
      </c>
      <c r="I250" s="244"/>
    </row>
    <row r="251" spans="1:9" s="38" customFormat="1" x14ac:dyDescent="0.2">
      <c r="A251" s="157">
        <v>248</v>
      </c>
      <c r="B251" s="170" t="s">
        <v>138</v>
      </c>
      <c r="C251" s="171" t="s">
        <v>17</v>
      </c>
      <c r="D251" s="166">
        <v>7.4402554663150211E-2</v>
      </c>
      <c r="E251" s="163"/>
      <c r="F251" s="201">
        <f t="shared" si="12"/>
        <v>1596.7085840930688</v>
      </c>
      <c r="G251" s="132"/>
      <c r="H251" s="162">
        <f t="shared" si="15"/>
        <v>0</v>
      </c>
      <c r="I251" s="244"/>
    </row>
    <row r="252" spans="1:9" s="38" customFormat="1" x14ac:dyDescent="0.2">
      <c r="A252" s="157">
        <v>249</v>
      </c>
      <c r="B252" s="170" t="s">
        <v>296</v>
      </c>
      <c r="C252" s="165" t="s">
        <v>17</v>
      </c>
      <c r="D252" s="166">
        <f t="shared" ref="D252:D257" si="16">+H252</f>
        <v>1.6304449124899814</v>
      </c>
      <c r="E252" s="163"/>
      <c r="F252" s="201">
        <f t="shared" si="12"/>
        <v>34990</v>
      </c>
      <c r="G252" s="132">
        <v>34990</v>
      </c>
      <c r="H252" s="131">
        <f t="shared" si="15"/>
        <v>1.6304449124899814</v>
      </c>
      <c r="I252" s="243"/>
    </row>
    <row r="253" spans="1:9" s="38" customFormat="1" x14ac:dyDescent="0.2">
      <c r="A253" s="157">
        <v>250</v>
      </c>
      <c r="B253" s="163" t="s">
        <v>210</v>
      </c>
      <c r="C253" s="165" t="s">
        <v>17</v>
      </c>
      <c r="D253" s="166">
        <f t="shared" si="16"/>
        <v>0.5587034724422657</v>
      </c>
      <c r="E253" s="163"/>
      <c r="F253" s="201">
        <f t="shared" si="12"/>
        <v>11990</v>
      </c>
      <c r="G253" s="132">
        <v>11990</v>
      </c>
      <c r="H253" s="131">
        <f t="shared" si="15"/>
        <v>0.5587034724422657</v>
      </c>
      <c r="I253" s="243"/>
    </row>
    <row r="254" spans="1:9" s="38" customFormat="1" x14ac:dyDescent="0.2">
      <c r="A254" s="157">
        <v>251</v>
      </c>
      <c r="B254" s="163" t="s">
        <v>205</v>
      </c>
      <c r="C254" s="165" t="s">
        <v>17</v>
      </c>
      <c r="D254" s="166">
        <f t="shared" si="16"/>
        <v>0.60530092635738375</v>
      </c>
      <c r="E254" s="163"/>
      <c r="F254" s="201">
        <f t="shared" si="12"/>
        <v>12990</v>
      </c>
      <c r="G254" s="132">
        <v>12990</v>
      </c>
      <c r="H254" s="131">
        <f t="shared" si="15"/>
        <v>0.60530092635738375</v>
      </c>
      <c r="I254" s="243"/>
    </row>
    <row r="255" spans="1:9" s="38" customFormat="1" x14ac:dyDescent="0.2">
      <c r="A255" s="157">
        <v>252</v>
      </c>
      <c r="B255" s="163" t="s">
        <v>103</v>
      </c>
      <c r="C255" s="165" t="s">
        <v>17</v>
      </c>
      <c r="D255" s="166">
        <f t="shared" si="16"/>
        <v>0.61462041714040738</v>
      </c>
      <c r="E255" s="163"/>
      <c r="F255" s="201">
        <f t="shared" si="12"/>
        <v>13190</v>
      </c>
      <c r="G255" s="132">
        <v>13190</v>
      </c>
      <c r="H255" s="131">
        <f t="shared" si="15"/>
        <v>0.61462041714040738</v>
      </c>
      <c r="I255" s="243"/>
    </row>
    <row r="256" spans="1:9" s="38" customFormat="1" x14ac:dyDescent="0.2">
      <c r="A256" s="157">
        <v>253</v>
      </c>
      <c r="B256" s="163" t="s">
        <v>207</v>
      </c>
      <c r="C256" s="165" t="s">
        <v>17</v>
      </c>
      <c r="D256" s="166">
        <f t="shared" si="16"/>
        <v>0.62859965331494283</v>
      </c>
      <c r="E256" s="163"/>
      <c r="F256" s="201">
        <f t="shared" si="12"/>
        <v>13490</v>
      </c>
      <c r="G256" s="132">
        <v>13490</v>
      </c>
      <c r="H256" s="131">
        <f t="shared" si="15"/>
        <v>0.62859965331494283</v>
      </c>
      <c r="I256" s="243"/>
    </row>
    <row r="257" spans="1:9" s="38" customFormat="1" x14ac:dyDescent="0.2">
      <c r="A257" s="157">
        <v>254</v>
      </c>
      <c r="B257" s="170" t="s">
        <v>314</v>
      </c>
      <c r="C257" s="165" t="s">
        <v>17</v>
      </c>
      <c r="D257" s="166">
        <f t="shared" si="16"/>
        <v>0.79169074201785605</v>
      </c>
      <c r="E257" s="163" t="s">
        <v>372</v>
      </c>
      <c r="F257" s="201">
        <f t="shared" si="12"/>
        <v>16990</v>
      </c>
      <c r="G257" s="132">
        <v>16990</v>
      </c>
      <c r="H257" s="131">
        <f t="shared" si="15"/>
        <v>0.79169074201785605</v>
      </c>
      <c r="I257" s="243"/>
    </row>
    <row r="258" spans="1:9" s="38" customFormat="1" x14ac:dyDescent="0.2">
      <c r="A258" s="157">
        <v>255</v>
      </c>
      <c r="B258" s="163" t="s">
        <v>104</v>
      </c>
      <c r="C258" s="165" t="s">
        <v>17</v>
      </c>
      <c r="D258" s="166">
        <v>0.60273246372456801</v>
      </c>
      <c r="E258" s="163"/>
      <c r="F258" s="201">
        <f t="shared" si="12"/>
        <v>12934.879764514721</v>
      </c>
      <c r="G258" s="132"/>
      <c r="H258" s="162">
        <f t="shared" si="15"/>
        <v>0</v>
      </c>
      <c r="I258" s="244"/>
    </row>
    <row r="259" spans="1:9" s="38" customFormat="1" x14ac:dyDescent="0.2">
      <c r="A259" s="157">
        <v>256</v>
      </c>
      <c r="B259" s="163" t="s">
        <v>86</v>
      </c>
      <c r="C259" s="165" t="s">
        <v>18</v>
      </c>
      <c r="D259" s="166">
        <v>0.14215433434354938</v>
      </c>
      <c r="E259" s="163"/>
      <c r="F259" s="201">
        <f t="shared" si="12"/>
        <v>3050.6888767463074</v>
      </c>
      <c r="G259" s="132"/>
      <c r="H259" s="162">
        <f t="shared" si="15"/>
        <v>0</v>
      </c>
      <c r="I259" s="244"/>
    </row>
    <row r="260" spans="1:9" s="38" customFormat="1" x14ac:dyDescent="0.2">
      <c r="A260" s="157">
        <v>257</v>
      </c>
      <c r="B260" s="163" t="s">
        <v>108</v>
      </c>
      <c r="C260" s="165" t="s">
        <v>568</v>
      </c>
      <c r="D260" s="166">
        <f>+H260</f>
        <v>4.6411064099457604E-2</v>
      </c>
      <c r="E260" s="163"/>
      <c r="F260" s="201">
        <f t="shared" ref="F260:F323" si="17">D260*$F$1</f>
        <v>996</v>
      </c>
      <c r="G260" s="132">
        <v>996</v>
      </c>
      <c r="H260" s="131">
        <f t="shared" si="15"/>
        <v>4.6411064099457604E-2</v>
      </c>
      <c r="I260" s="243"/>
    </row>
    <row r="261" spans="1:9" s="38" customFormat="1" x14ac:dyDescent="0.2">
      <c r="A261" s="157">
        <v>258</v>
      </c>
      <c r="B261" s="163" t="s">
        <v>105</v>
      </c>
      <c r="C261" s="165" t="s">
        <v>568</v>
      </c>
      <c r="D261" s="166">
        <f>+H261</f>
        <v>1.1556168570949283E-2</v>
      </c>
      <c r="E261" s="163"/>
      <c r="F261" s="201">
        <f t="shared" si="17"/>
        <v>248</v>
      </c>
      <c r="G261" s="132">
        <v>248</v>
      </c>
      <c r="H261" s="131">
        <f t="shared" si="15"/>
        <v>1.1556168570949283E-2</v>
      </c>
      <c r="I261" s="243"/>
    </row>
    <row r="262" spans="1:9" s="38" customFormat="1" x14ac:dyDescent="0.2">
      <c r="A262" s="157">
        <v>259</v>
      </c>
      <c r="B262" s="163" t="s">
        <v>107</v>
      </c>
      <c r="C262" s="165" t="s">
        <v>568</v>
      </c>
      <c r="D262" s="166">
        <f>+H262</f>
        <v>2.054947717656707E-2</v>
      </c>
      <c r="E262" s="163"/>
      <c r="F262" s="201">
        <f t="shared" si="17"/>
        <v>441</v>
      </c>
      <c r="G262" s="132">
        <v>441</v>
      </c>
      <c r="H262" s="131">
        <f t="shared" si="15"/>
        <v>2.054947717656707E-2</v>
      </c>
      <c r="I262" s="243"/>
    </row>
    <row r="263" spans="1:9" s="38" customFormat="1" x14ac:dyDescent="0.2">
      <c r="A263" s="157">
        <v>260</v>
      </c>
      <c r="B263" s="163" t="s">
        <v>106</v>
      </c>
      <c r="C263" s="165" t="s">
        <v>568</v>
      </c>
      <c r="D263" s="166">
        <f>+H263</f>
        <v>2.5721794561145178E-2</v>
      </c>
      <c r="E263" s="163"/>
      <c r="F263" s="201">
        <f t="shared" si="17"/>
        <v>552</v>
      </c>
      <c r="G263" s="132">
        <v>552</v>
      </c>
      <c r="H263" s="131">
        <f t="shared" si="15"/>
        <v>2.5721794561145178E-2</v>
      </c>
      <c r="I263" s="243"/>
    </row>
    <row r="264" spans="1:9" s="38" customFormat="1" x14ac:dyDescent="0.2">
      <c r="A264" s="157">
        <v>261</v>
      </c>
      <c r="B264" s="170" t="s">
        <v>267</v>
      </c>
      <c r="C264" s="165" t="s">
        <v>17</v>
      </c>
      <c r="D264" s="166">
        <v>1.0852246574372411</v>
      </c>
      <c r="E264" s="163"/>
      <c r="F264" s="201">
        <f t="shared" si="17"/>
        <v>23289.355238466171</v>
      </c>
      <c r="G264" s="132"/>
      <c r="H264" s="162">
        <f t="shared" si="15"/>
        <v>0</v>
      </c>
      <c r="I264" s="244"/>
    </row>
    <row r="265" spans="1:9" s="38" customFormat="1" x14ac:dyDescent="0.2">
      <c r="A265" s="157">
        <v>262</v>
      </c>
      <c r="B265" s="276" t="s">
        <v>335</v>
      </c>
      <c r="C265" s="165" t="s">
        <v>17</v>
      </c>
      <c r="D265" s="166">
        <f>+H265</f>
        <v>3.2618217740582652E-3</v>
      </c>
      <c r="E265" s="163" t="s">
        <v>308</v>
      </c>
      <c r="F265" s="201">
        <f t="shared" si="17"/>
        <v>70</v>
      </c>
      <c r="G265" s="132">
        <f>700/10</f>
        <v>70</v>
      </c>
      <c r="H265" s="162">
        <f t="shared" si="15"/>
        <v>3.2618217740582652E-3</v>
      </c>
      <c r="I265" s="244"/>
    </row>
    <row r="266" spans="1:9" s="38" customFormat="1" x14ac:dyDescent="0.2">
      <c r="A266" s="157">
        <v>263</v>
      </c>
      <c r="B266" s="163" t="s">
        <v>7</v>
      </c>
      <c r="C266" s="165" t="s">
        <v>6</v>
      </c>
      <c r="D266" s="166">
        <v>9.5694604068360403E-2</v>
      </c>
      <c r="E266" s="163"/>
      <c r="F266" s="201">
        <f t="shared" si="17"/>
        <v>2053.6444811486417</v>
      </c>
      <c r="G266" s="132"/>
      <c r="H266" s="162">
        <f t="shared" si="15"/>
        <v>0</v>
      </c>
      <c r="I266" s="244"/>
    </row>
    <row r="267" spans="1:9" s="38" customFormat="1" x14ac:dyDescent="0.2">
      <c r="A267" s="157">
        <v>264</v>
      </c>
      <c r="B267" s="163" t="s">
        <v>184</v>
      </c>
      <c r="C267" s="165" t="s">
        <v>650</v>
      </c>
      <c r="D267" s="166">
        <v>0.57416762441016245</v>
      </c>
      <c r="E267" s="163"/>
      <c r="F267" s="201">
        <f t="shared" si="17"/>
        <v>12321.86688689185</v>
      </c>
      <c r="G267" s="132"/>
      <c r="H267" s="162">
        <f t="shared" si="15"/>
        <v>0</v>
      </c>
      <c r="I267" s="244"/>
    </row>
    <row r="268" spans="1:9" s="38" customFormat="1" x14ac:dyDescent="0.2">
      <c r="A268" s="157">
        <v>265</v>
      </c>
      <c r="B268" s="163" t="s">
        <v>94</v>
      </c>
      <c r="C268" s="165" t="s">
        <v>17</v>
      </c>
      <c r="D268" s="166">
        <v>6.3923995517664742E-2</v>
      </c>
      <c r="E268" s="163"/>
      <c r="F268" s="201">
        <f t="shared" si="17"/>
        <v>1371.8345134072924</v>
      </c>
      <c r="G268" s="132"/>
      <c r="H268" s="162">
        <f t="shared" ref="H268:H299" si="18">+G268/$F$1</f>
        <v>0</v>
      </c>
      <c r="I268" s="244"/>
    </row>
    <row r="269" spans="1:9" s="38" customFormat="1" x14ac:dyDescent="0.2">
      <c r="A269" s="157">
        <v>266</v>
      </c>
      <c r="B269" s="163" t="s">
        <v>44</v>
      </c>
      <c r="C269" s="165" t="s">
        <v>18</v>
      </c>
      <c r="D269" s="166">
        <v>0.12866139516991057</v>
      </c>
      <c r="E269" s="163"/>
      <c r="F269" s="201">
        <f t="shared" si="17"/>
        <v>2761.1250049043488</v>
      </c>
      <c r="G269" s="132"/>
      <c r="H269" s="162">
        <f t="shared" si="18"/>
        <v>0</v>
      </c>
      <c r="I269" s="244"/>
    </row>
    <row r="270" spans="1:9" s="38" customFormat="1" x14ac:dyDescent="0.2">
      <c r="A270" s="157">
        <v>267</v>
      </c>
      <c r="B270" s="276" t="s">
        <v>322</v>
      </c>
      <c r="C270" s="165" t="s">
        <v>17</v>
      </c>
      <c r="D270" s="166">
        <f>+H270</f>
        <v>4.1471733984455088E-4</v>
      </c>
      <c r="E270" s="163" t="s">
        <v>680</v>
      </c>
      <c r="F270" s="201">
        <f t="shared" si="17"/>
        <v>8.9</v>
      </c>
      <c r="G270" s="132">
        <f>890/100</f>
        <v>8.9</v>
      </c>
      <c r="H270" s="162">
        <f t="shared" si="18"/>
        <v>4.1471733984455088E-4</v>
      </c>
      <c r="I270" s="244"/>
    </row>
    <row r="271" spans="1:9" s="38" customFormat="1" x14ac:dyDescent="0.2">
      <c r="A271" s="157">
        <v>268</v>
      </c>
      <c r="B271" s="176" t="s">
        <v>401</v>
      </c>
      <c r="C271" s="165" t="s">
        <v>17</v>
      </c>
      <c r="D271" s="166">
        <v>8.4498335392362234E-2</v>
      </c>
      <c r="E271" s="174"/>
      <c r="F271" s="201">
        <f t="shared" si="17"/>
        <v>1813.3680768542506</v>
      </c>
      <c r="G271" s="132"/>
      <c r="H271" s="162">
        <f t="shared" si="18"/>
        <v>0</v>
      </c>
      <c r="I271" s="244"/>
    </row>
    <row r="272" spans="1:9" s="38" customFormat="1" x14ac:dyDescent="0.2">
      <c r="A272" s="157">
        <v>269</v>
      </c>
      <c r="B272" s="175" t="s">
        <v>255</v>
      </c>
      <c r="C272" s="165" t="s">
        <v>38</v>
      </c>
      <c r="D272" s="166">
        <v>0.20607832986121413</v>
      </c>
      <c r="E272" s="163"/>
      <c r="F272" s="201">
        <f t="shared" si="17"/>
        <v>4422.5233901536003</v>
      </c>
      <c r="G272" s="132"/>
      <c r="H272" s="162">
        <f t="shared" si="18"/>
        <v>0</v>
      </c>
      <c r="I272" s="244"/>
    </row>
    <row r="273" spans="1:9" s="38" customFormat="1" x14ac:dyDescent="0.2">
      <c r="A273" s="157">
        <v>270</v>
      </c>
      <c r="B273" s="163" t="s">
        <v>54</v>
      </c>
      <c r="C273" s="165" t="s">
        <v>17</v>
      </c>
      <c r="D273" s="166">
        <v>6.7943168888535882E-2</v>
      </c>
      <c r="E273" s="163"/>
      <c r="F273" s="201">
        <f t="shared" si="17"/>
        <v>1458.0875816155356</v>
      </c>
      <c r="G273" s="132"/>
      <c r="H273" s="162">
        <f t="shared" si="18"/>
        <v>0</v>
      </c>
      <c r="I273" s="244"/>
    </row>
    <row r="274" spans="1:9" s="38" customFormat="1" x14ac:dyDescent="0.2">
      <c r="A274" s="157">
        <v>271</v>
      </c>
      <c r="B274" s="163" t="s">
        <v>62</v>
      </c>
      <c r="C274" s="165" t="s">
        <v>17</v>
      </c>
      <c r="D274" s="166">
        <v>7.0000602876005638E-2</v>
      </c>
      <c r="E274" s="163"/>
      <c r="F274" s="201">
        <f t="shared" si="17"/>
        <v>1502.2409379602316</v>
      </c>
      <c r="G274" s="132"/>
      <c r="H274" s="162">
        <f t="shared" si="18"/>
        <v>0</v>
      </c>
      <c r="I274" s="244"/>
    </row>
    <row r="275" spans="1:9" s="38" customFormat="1" x14ac:dyDescent="0.2">
      <c r="A275" s="157">
        <v>272</v>
      </c>
      <c r="B275" s="163" t="s">
        <v>483</v>
      </c>
      <c r="C275" s="165" t="s">
        <v>17</v>
      </c>
      <c r="D275" s="166">
        <v>0.19665241136048062</v>
      </c>
      <c r="E275" s="163"/>
      <c r="F275" s="201">
        <f t="shared" si="17"/>
        <v>4220.2394087604589</v>
      </c>
      <c r="G275" s="132"/>
      <c r="H275" s="162">
        <f t="shared" si="18"/>
        <v>0</v>
      </c>
      <c r="I275" s="244"/>
    </row>
    <row r="276" spans="1:9" s="38" customFormat="1" x14ac:dyDescent="0.2">
      <c r="A276" s="157">
        <v>273</v>
      </c>
      <c r="B276" s="163" t="s">
        <v>53</v>
      </c>
      <c r="C276" s="165" t="s">
        <v>17</v>
      </c>
      <c r="D276" s="166">
        <v>5.4306687808794524E-2</v>
      </c>
      <c r="E276" s="163"/>
      <c r="F276" s="201">
        <f t="shared" si="17"/>
        <v>1165.4432430518541</v>
      </c>
      <c r="G276" s="132"/>
      <c r="H276" s="162">
        <f t="shared" si="18"/>
        <v>0</v>
      </c>
      <c r="I276" s="244"/>
    </row>
    <row r="277" spans="1:9" s="38" customFormat="1" x14ac:dyDescent="0.2">
      <c r="A277" s="157">
        <v>274</v>
      </c>
      <c r="B277" s="163" t="s">
        <v>227</v>
      </c>
      <c r="C277" s="165" t="s">
        <v>17</v>
      </c>
      <c r="D277" s="166">
        <v>0.10014440315753916</v>
      </c>
      <c r="E277" s="163" t="s">
        <v>228</v>
      </c>
      <c r="F277" s="201">
        <f t="shared" si="17"/>
        <v>2149.1389495220533</v>
      </c>
      <c r="G277" s="132"/>
      <c r="H277" s="162">
        <f t="shared" si="18"/>
        <v>0</v>
      </c>
      <c r="I277" s="244"/>
    </row>
    <row r="278" spans="1:9" s="38" customFormat="1" x14ac:dyDescent="0.2">
      <c r="A278" s="157">
        <v>275</v>
      </c>
      <c r="B278" s="163" t="s">
        <v>275</v>
      </c>
      <c r="C278" s="165" t="s">
        <v>14</v>
      </c>
      <c r="D278" s="166">
        <v>0.41866389279907673</v>
      </c>
      <c r="E278" s="163"/>
      <c r="F278" s="201">
        <f t="shared" si="17"/>
        <v>8984.6946050253064</v>
      </c>
      <c r="G278" s="132"/>
      <c r="H278" s="162">
        <f t="shared" si="18"/>
        <v>0</v>
      </c>
      <c r="I278" s="244"/>
    </row>
    <row r="279" spans="1:9" s="38" customFormat="1" x14ac:dyDescent="0.2">
      <c r="A279" s="157">
        <v>276</v>
      </c>
      <c r="B279" s="158" t="s">
        <v>553</v>
      </c>
      <c r="C279" s="165" t="s">
        <v>17</v>
      </c>
      <c r="D279" s="166">
        <f>+H279</f>
        <v>6.0576690089653501E-3</v>
      </c>
      <c r="E279" s="113"/>
      <c r="F279" s="201">
        <f t="shared" si="17"/>
        <v>130</v>
      </c>
      <c r="G279" s="132">
        <v>130</v>
      </c>
      <c r="H279" s="131">
        <f t="shared" si="18"/>
        <v>6.0576690089653501E-3</v>
      </c>
      <c r="I279" s="243"/>
    </row>
    <row r="280" spans="1:9" s="38" customFormat="1" x14ac:dyDescent="0.2">
      <c r="A280" s="157">
        <v>277</v>
      </c>
      <c r="B280" s="163" t="s">
        <v>542</v>
      </c>
      <c r="C280" s="165" t="s">
        <v>17</v>
      </c>
      <c r="D280" s="166">
        <f>+H280</f>
        <v>4.6131479375966893E-2</v>
      </c>
      <c r="E280" s="113"/>
      <c r="F280" s="201">
        <f t="shared" si="17"/>
        <v>990</v>
      </c>
      <c r="G280" s="132">
        <v>990</v>
      </c>
      <c r="H280" s="131">
        <f t="shared" si="18"/>
        <v>4.6131479375966893E-2</v>
      </c>
      <c r="I280" s="243"/>
    </row>
    <row r="281" spans="1:9" s="38" customFormat="1" x14ac:dyDescent="0.2">
      <c r="A281" s="157">
        <v>278</v>
      </c>
      <c r="B281" s="163" t="s">
        <v>510</v>
      </c>
      <c r="C281" s="165" t="s">
        <v>17</v>
      </c>
      <c r="D281" s="166">
        <v>0.20478645270629126</v>
      </c>
      <c r="E281" s="163"/>
      <c r="F281" s="201">
        <f t="shared" si="17"/>
        <v>4394.7991896580934</v>
      </c>
      <c r="G281" s="132"/>
      <c r="H281" s="162">
        <f t="shared" si="18"/>
        <v>0</v>
      </c>
      <c r="I281" s="244"/>
    </row>
    <row r="282" spans="1:9" s="38" customFormat="1" x14ac:dyDescent="0.2">
      <c r="A282" s="157">
        <v>279</v>
      </c>
      <c r="B282" s="163" t="s">
        <v>159</v>
      </c>
      <c r="C282" s="165" t="s">
        <v>17</v>
      </c>
      <c r="D282" s="166">
        <f>+H282</f>
        <v>3.3550166818885015E-2</v>
      </c>
      <c r="E282" s="113"/>
      <c r="F282" s="201">
        <f t="shared" si="17"/>
        <v>720</v>
      </c>
      <c r="G282" s="132">
        <f>+(750+690)/2</f>
        <v>720</v>
      </c>
      <c r="H282" s="131">
        <f t="shared" si="18"/>
        <v>3.3550166818885015E-2</v>
      </c>
      <c r="I282" s="243"/>
    </row>
    <row r="283" spans="1:9" s="38" customFormat="1" ht="12" customHeight="1" x14ac:dyDescent="0.2">
      <c r="A283" s="157">
        <v>280</v>
      </c>
      <c r="B283" s="276" t="s">
        <v>301</v>
      </c>
      <c r="C283" s="165" t="s">
        <v>17</v>
      </c>
      <c r="D283" s="166">
        <f>+H283</f>
        <v>4.6131479375966894E-4</v>
      </c>
      <c r="E283" s="170" t="s">
        <v>658</v>
      </c>
      <c r="F283" s="201">
        <f t="shared" si="17"/>
        <v>9.9</v>
      </c>
      <c r="G283" s="132">
        <f>990/100</f>
        <v>9.9</v>
      </c>
      <c r="H283" s="162">
        <f t="shared" si="18"/>
        <v>4.6131479375966894E-4</v>
      </c>
      <c r="I283" s="244"/>
    </row>
    <row r="284" spans="1:9" s="38" customFormat="1" x14ac:dyDescent="0.2">
      <c r="A284" s="157">
        <v>281</v>
      </c>
      <c r="B284" s="163" t="s">
        <v>85</v>
      </c>
      <c r="C284" s="165" t="s">
        <v>17</v>
      </c>
      <c r="D284" s="166">
        <v>2.4880597057773705E-3</v>
      </c>
      <c r="E284" s="163"/>
      <c r="F284" s="201">
        <f t="shared" si="17"/>
        <v>53.394756509864685</v>
      </c>
      <c r="G284" s="132"/>
      <c r="H284" s="162">
        <f t="shared" si="18"/>
        <v>0</v>
      </c>
      <c r="I284" s="244"/>
    </row>
    <row r="285" spans="1:9" s="38" customFormat="1" ht="12" customHeight="1" x14ac:dyDescent="0.2">
      <c r="A285" s="157">
        <v>282</v>
      </c>
      <c r="B285" s="170" t="s">
        <v>336</v>
      </c>
      <c r="C285" s="165" t="s">
        <v>17</v>
      </c>
      <c r="D285" s="166">
        <v>4.4497990891787589E-3</v>
      </c>
      <c r="E285" s="170" t="s">
        <v>659</v>
      </c>
      <c r="F285" s="201">
        <f t="shared" si="17"/>
        <v>95.494468373411848</v>
      </c>
      <c r="G285" s="132"/>
      <c r="H285" s="162">
        <f t="shared" si="18"/>
        <v>0</v>
      </c>
      <c r="I285" s="244"/>
    </row>
    <row r="286" spans="1:9" s="38" customFormat="1" x14ac:dyDescent="0.2">
      <c r="A286" s="157">
        <v>283</v>
      </c>
      <c r="B286" s="170" t="s">
        <v>337</v>
      </c>
      <c r="C286" s="165" t="s">
        <v>17</v>
      </c>
      <c r="D286" s="166">
        <v>3.5885476525635153E-2</v>
      </c>
      <c r="E286" s="163" t="s">
        <v>319</v>
      </c>
      <c r="F286" s="201">
        <f t="shared" si="17"/>
        <v>770.11668043074064</v>
      </c>
      <c r="G286" s="132"/>
      <c r="H286" s="162">
        <f t="shared" si="18"/>
        <v>0</v>
      </c>
      <c r="I286" s="244"/>
    </row>
    <row r="287" spans="1:9" s="38" customFormat="1" x14ac:dyDescent="0.2">
      <c r="A287" s="157">
        <v>284</v>
      </c>
      <c r="B287" s="170" t="s">
        <v>489</v>
      </c>
      <c r="C287" s="165" t="s">
        <v>17</v>
      </c>
      <c r="D287" s="166">
        <v>3.5933323827669332E-2</v>
      </c>
      <c r="E287" s="163" t="s">
        <v>488</v>
      </c>
      <c r="F287" s="201">
        <f t="shared" si="17"/>
        <v>771.14350267131499</v>
      </c>
      <c r="G287" s="132"/>
      <c r="H287" s="162">
        <f t="shared" si="18"/>
        <v>0</v>
      </c>
      <c r="I287" s="244"/>
    </row>
    <row r="288" spans="1:9" s="38" customFormat="1" x14ac:dyDescent="0.2">
      <c r="A288" s="157">
        <v>285</v>
      </c>
      <c r="B288" s="170" t="s">
        <v>463</v>
      </c>
      <c r="C288" s="165" t="s">
        <v>17</v>
      </c>
      <c r="D288" s="166">
        <v>5.3588978278281824E-2</v>
      </c>
      <c r="E288" s="163"/>
      <c r="F288" s="201">
        <f t="shared" si="17"/>
        <v>1150.0409094432393</v>
      </c>
      <c r="G288" s="167"/>
      <c r="H288" s="162">
        <f t="shared" si="18"/>
        <v>0</v>
      </c>
      <c r="I288" s="244"/>
    </row>
    <row r="289" spans="1:9" s="38" customFormat="1" x14ac:dyDescent="0.2">
      <c r="A289" s="157">
        <v>286</v>
      </c>
      <c r="B289" s="163" t="s">
        <v>123</v>
      </c>
      <c r="C289" s="165" t="s">
        <v>38</v>
      </c>
      <c r="D289" s="166">
        <v>0.15775255480669212</v>
      </c>
      <c r="E289" s="163"/>
      <c r="F289" s="201">
        <f t="shared" si="17"/>
        <v>3385.432927173536</v>
      </c>
      <c r="G289" s="167"/>
      <c r="H289" s="162">
        <f t="shared" si="18"/>
        <v>0</v>
      </c>
      <c r="I289" s="244"/>
    </row>
    <row r="290" spans="1:9" s="38" customFormat="1" x14ac:dyDescent="0.2">
      <c r="A290" s="157">
        <v>287</v>
      </c>
      <c r="B290" s="158" t="s">
        <v>606</v>
      </c>
      <c r="C290" s="165" t="s">
        <v>17</v>
      </c>
      <c r="D290" s="166">
        <f>+H290</f>
        <v>0.49486496057855395</v>
      </c>
      <c r="E290" s="163"/>
      <c r="F290" s="201">
        <f t="shared" si="17"/>
        <v>10620</v>
      </c>
      <c r="G290" s="132">
        <v>10620</v>
      </c>
      <c r="H290" s="131">
        <f t="shared" si="18"/>
        <v>0.49486496057855395</v>
      </c>
      <c r="I290" s="243"/>
    </row>
    <row r="291" spans="1:9" s="38" customFormat="1" x14ac:dyDescent="0.2">
      <c r="A291" s="157">
        <v>288</v>
      </c>
      <c r="B291" s="158" t="s">
        <v>608</v>
      </c>
      <c r="C291" s="165" t="s">
        <v>17</v>
      </c>
      <c r="D291" s="166">
        <f>+H291</f>
        <v>0.54984995619839327</v>
      </c>
      <c r="E291" s="163"/>
      <c r="F291" s="201">
        <f t="shared" si="17"/>
        <v>11800</v>
      </c>
      <c r="G291" s="132">
        <v>11800</v>
      </c>
      <c r="H291" s="131">
        <f t="shared" si="18"/>
        <v>0.54984995619839327</v>
      </c>
      <c r="I291" s="243"/>
    </row>
    <row r="292" spans="1:9" s="38" customFormat="1" x14ac:dyDescent="0.2">
      <c r="A292" s="157">
        <v>289</v>
      </c>
      <c r="B292" s="158" t="s">
        <v>610</v>
      </c>
      <c r="C292" s="165" t="s">
        <v>17</v>
      </c>
      <c r="D292" s="166">
        <f>+H292</f>
        <v>0.59365156287860432</v>
      </c>
      <c r="E292" s="163"/>
      <c r="F292" s="201">
        <f t="shared" si="17"/>
        <v>12740.000000000002</v>
      </c>
      <c r="G292" s="132">
        <v>12740</v>
      </c>
      <c r="H292" s="131">
        <f t="shared" si="18"/>
        <v>0.59365156287860432</v>
      </c>
      <c r="I292" s="243"/>
    </row>
    <row r="293" spans="1:9" x14ac:dyDescent="0.2">
      <c r="A293" s="157">
        <v>290</v>
      </c>
      <c r="B293" s="158" t="s">
        <v>554</v>
      </c>
      <c r="C293" s="159" t="s">
        <v>17</v>
      </c>
      <c r="D293" s="160">
        <f>+H293</f>
        <v>6.7794635701105284</v>
      </c>
      <c r="E293" s="158"/>
      <c r="F293" s="201">
        <f t="shared" si="17"/>
        <v>145490</v>
      </c>
      <c r="G293" s="130">
        <v>145490</v>
      </c>
      <c r="H293" s="131">
        <f t="shared" si="18"/>
        <v>6.7794635701105284</v>
      </c>
      <c r="I293" s="244"/>
    </row>
    <row r="294" spans="1:9" s="38" customFormat="1" x14ac:dyDescent="0.2">
      <c r="A294" s="157">
        <v>291</v>
      </c>
      <c r="B294" s="158" t="s">
        <v>560</v>
      </c>
      <c r="C294" s="159" t="s">
        <v>17</v>
      </c>
      <c r="D294" s="160">
        <f>+H294</f>
        <v>9.9434306909470465</v>
      </c>
      <c r="E294" s="158"/>
      <c r="F294" s="201">
        <f t="shared" si="17"/>
        <v>213390</v>
      </c>
      <c r="G294" s="130">
        <v>213390</v>
      </c>
      <c r="H294" s="131">
        <f t="shared" si="18"/>
        <v>9.9434306909470465</v>
      </c>
      <c r="I294" s="244"/>
    </row>
    <row r="295" spans="1:9" s="38" customFormat="1" x14ac:dyDescent="0.2">
      <c r="A295" s="157">
        <v>292</v>
      </c>
      <c r="B295" s="163" t="s">
        <v>60</v>
      </c>
      <c r="C295" s="165" t="s">
        <v>17</v>
      </c>
      <c r="D295" s="166">
        <v>2.13059251228001</v>
      </c>
      <c r="E295" s="163"/>
      <c r="F295" s="201">
        <f t="shared" si="17"/>
        <v>45723.367550533927</v>
      </c>
      <c r="G295" s="167"/>
      <c r="H295" s="162">
        <f t="shared" si="18"/>
        <v>0</v>
      </c>
      <c r="I295" s="244"/>
    </row>
    <row r="296" spans="1:9" s="38" customFormat="1" x14ac:dyDescent="0.2">
      <c r="A296" s="157">
        <v>293</v>
      </c>
      <c r="B296" s="163" t="s">
        <v>61</v>
      </c>
      <c r="C296" s="165" t="s">
        <v>17</v>
      </c>
      <c r="D296" s="166">
        <v>1.0852246574372411</v>
      </c>
      <c r="E296" s="163"/>
      <c r="F296" s="201">
        <f t="shared" si="17"/>
        <v>23289.355238466171</v>
      </c>
      <c r="G296" s="167"/>
      <c r="H296" s="162">
        <f t="shared" si="18"/>
        <v>0</v>
      </c>
      <c r="I296" s="244"/>
    </row>
    <row r="297" spans="1:9" s="38" customFormat="1" x14ac:dyDescent="0.2">
      <c r="A297" s="157">
        <v>294</v>
      </c>
      <c r="B297" s="175" t="s">
        <v>298</v>
      </c>
      <c r="C297" s="165" t="s">
        <v>17</v>
      </c>
      <c r="D297" s="166">
        <v>5.7416762441016235E-4</v>
      </c>
      <c r="E297" s="163" t="s">
        <v>315</v>
      </c>
      <c r="F297" s="201">
        <f t="shared" si="17"/>
        <v>12.321866886891849</v>
      </c>
      <c r="G297" s="167"/>
      <c r="H297" s="162">
        <f t="shared" si="18"/>
        <v>0</v>
      </c>
      <c r="I297" s="244"/>
    </row>
    <row r="298" spans="1:9" s="38" customFormat="1" x14ac:dyDescent="0.2">
      <c r="A298" s="157">
        <v>295</v>
      </c>
      <c r="B298" s="170" t="s">
        <v>268</v>
      </c>
      <c r="C298" s="165" t="s">
        <v>17</v>
      </c>
      <c r="D298" s="166">
        <v>9.5694604068360402E-4</v>
      </c>
      <c r="E298" s="163" t="s">
        <v>316</v>
      </c>
      <c r="F298" s="201">
        <f t="shared" si="17"/>
        <v>20.536444811486419</v>
      </c>
      <c r="G298" s="167"/>
      <c r="H298" s="162">
        <f t="shared" si="18"/>
        <v>0</v>
      </c>
      <c r="I298" s="244"/>
    </row>
    <row r="299" spans="1:9" s="38" customFormat="1" x14ac:dyDescent="0.2">
      <c r="A299" s="157">
        <v>296</v>
      </c>
      <c r="B299" s="170" t="s">
        <v>338</v>
      </c>
      <c r="C299" s="165" t="s">
        <v>17</v>
      </c>
      <c r="D299" s="166">
        <v>9.0909873864942375E-4</v>
      </c>
      <c r="E299" s="163" t="s">
        <v>313</v>
      </c>
      <c r="F299" s="201">
        <f t="shared" si="17"/>
        <v>19.509622570912093</v>
      </c>
      <c r="G299" s="167"/>
      <c r="H299" s="162">
        <f t="shared" si="18"/>
        <v>0</v>
      </c>
      <c r="I299" s="244"/>
    </row>
    <row r="300" spans="1:9" s="38" customFormat="1" x14ac:dyDescent="0.2">
      <c r="A300" s="157">
        <v>297</v>
      </c>
      <c r="B300" s="158" t="s">
        <v>618</v>
      </c>
      <c r="C300" s="165" t="s">
        <v>17</v>
      </c>
      <c r="D300" s="166">
        <f>+H300</f>
        <v>7.4089951725037745E-4</v>
      </c>
      <c r="E300" s="163"/>
      <c r="F300" s="201">
        <f t="shared" si="17"/>
        <v>15.900000000000002</v>
      </c>
      <c r="G300" s="132">
        <f>1590/100</f>
        <v>15.9</v>
      </c>
      <c r="H300" s="131">
        <f t="shared" ref="H300:H330" si="19">+G300/$F$1</f>
        <v>7.4089951725037745E-4</v>
      </c>
      <c r="I300" s="243"/>
    </row>
    <row r="301" spans="1:9" s="38" customFormat="1" x14ac:dyDescent="0.2">
      <c r="A301" s="157">
        <v>298</v>
      </c>
      <c r="B301" s="158" t="s">
        <v>619</v>
      </c>
      <c r="C301" s="165" t="s">
        <v>17</v>
      </c>
      <c r="D301" s="166">
        <f>+H301</f>
        <v>8.154554435145663E-4</v>
      </c>
      <c r="E301" s="163"/>
      <c r="F301" s="201">
        <f t="shared" si="17"/>
        <v>17.5</v>
      </c>
      <c r="G301" s="132">
        <f>1750/100</f>
        <v>17.5</v>
      </c>
      <c r="H301" s="131">
        <f t="shared" si="19"/>
        <v>8.154554435145663E-4</v>
      </c>
      <c r="I301" s="243"/>
    </row>
    <row r="302" spans="1:9" s="38" customFormat="1" x14ac:dyDescent="0.2">
      <c r="A302" s="157">
        <v>299</v>
      </c>
      <c r="B302" s="158" t="s">
        <v>575</v>
      </c>
      <c r="C302" s="165" t="s">
        <v>17</v>
      </c>
      <c r="D302" s="166">
        <f>+H302</f>
        <v>7.874969711654954E-4</v>
      </c>
      <c r="E302" s="163"/>
      <c r="F302" s="201">
        <f t="shared" si="17"/>
        <v>16.899999999999999</v>
      </c>
      <c r="G302" s="132">
        <f>1690/100</f>
        <v>16.899999999999999</v>
      </c>
      <c r="H302" s="131">
        <f t="shared" si="19"/>
        <v>7.874969711654954E-4</v>
      </c>
      <c r="I302" s="243"/>
    </row>
    <row r="303" spans="1:9" s="38" customFormat="1" x14ac:dyDescent="0.2">
      <c r="A303" s="157">
        <v>300</v>
      </c>
      <c r="B303" s="163" t="s">
        <v>121</v>
      </c>
      <c r="C303" s="165" t="s">
        <v>18</v>
      </c>
      <c r="D303" s="166">
        <v>9.5694604068360402E-4</v>
      </c>
      <c r="E303" s="163"/>
      <c r="F303" s="201">
        <f t="shared" si="17"/>
        <v>20.536444811486419</v>
      </c>
      <c r="G303" s="167"/>
      <c r="H303" s="162">
        <f t="shared" si="19"/>
        <v>0</v>
      </c>
      <c r="I303" s="244"/>
    </row>
    <row r="304" spans="1:9" s="38" customFormat="1" x14ac:dyDescent="0.2">
      <c r="A304" s="157">
        <v>301</v>
      </c>
      <c r="B304" s="163" t="s">
        <v>161</v>
      </c>
      <c r="C304" s="165" t="s">
        <v>17</v>
      </c>
      <c r="D304" s="166">
        <v>1.2440298528886853E-3</v>
      </c>
      <c r="E304" s="163"/>
      <c r="F304" s="201">
        <f t="shared" si="17"/>
        <v>26.697378254932342</v>
      </c>
      <c r="G304" s="167"/>
      <c r="H304" s="162">
        <f t="shared" si="19"/>
        <v>0</v>
      </c>
      <c r="I304" s="244"/>
    </row>
    <row r="305" spans="1:9" s="38" customFormat="1" x14ac:dyDescent="0.2">
      <c r="A305" s="157">
        <v>302</v>
      </c>
      <c r="B305" s="163" t="s">
        <v>165</v>
      </c>
      <c r="C305" s="165" t="s">
        <v>17</v>
      </c>
      <c r="D305" s="166">
        <v>8.6125143661524358E-4</v>
      </c>
      <c r="E305" s="170" t="s">
        <v>309</v>
      </c>
      <c r="F305" s="201">
        <f t="shared" si="17"/>
        <v>18.482800330337774</v>
      </c>
      <c r="G305" s="167"/>
      <c r="H305" s="162">
        <f t="shared" si="19"/>
        <v>0</v>
      </c>
      <c r="I305" s="244"/>
    </row>
    <row r="306" spans="1:9" s="38" customFormat="1" x14ac:dyDescent="0.2">
      <c r="A306" s="157">
        <v>303</v>
      </c>
      <c r="B306" s="163" t="s">
        <v>122</v>
      </c>
      <c r="C306" s="165" t="s">
        <v>17</v>
      </c>
      <c r="D306" s="166">
        <v>3.636394954597695E-3</v>
      </c>
      <c r="E306" s="163"/>
      <c r="F306" s="201">
        <f t="shared" si="17"/>
        <v>78.038490283648372</v>
      </c>
      <c r="G306" s="167"/>
      <c r="H306" s="162">
        <f t="shared" si="19"/>
        <v>0</v>
      </c>
      <c r="I306" s="244"/>
    </row>
    <row r="307" spans="1:9" s="38" customFormat="1" x14ac:dyDescent="0.2">
      <c r="A307" s="157">
        <v>304</v>
      </c>
      <c r="B307" s="172" t="s">
        <v>36</v>
      </c>
      <c r="C307" s="165" t="s">
        <v>17</v>
      </c>
      <c r="D307" s="177">
        <v>2.5359070078115505E-4</v>
      </c>
      <c r="E307" s="163"/>
      <c r="F307" s="201">
        <f t="shared" si="17"/>
        <v>5.4421578750439004</v>
      </c>
      <c r="G307" s="167">
        <f>6990/1000</f>
        <v>6.99</v>
      </c>
      <c r="H307" s="162">
        <f t="shared" si="19"/>
        <v>3.2571620286667537E-4</v>
      </c>
      <c r="I307" s="244"/>
    </row>
    <row r="308" spans="1:9" s="38" customFormat="1" x14ac:dyDescent="0.2">
      <c r="A308" s="157">
        <v>305</v>
      </c>
      <c r="B308" s="172" t="s">
        <v>354</v>
      </c>
      <c r="C308" s="165" t="s">
        <v>568</v>
      </c>
      <c r="D308" s="166">
        <v>1.5215442046869303E-2</v>
      </c>
      <c r="E308" s="163"/>
      <c r="F308" s="201">
        <f t="shared" si="17"/>
        <v>326.52947250263401</v>
      </c>
      <c r="G308" s="167"/>
      <c r="H308" s="162">
        <f t="shared" si="19"/>
        <v>0</v>
      </c>
      <c r="I308" s="244"/>
    </row>
    <row r="309" spans="1:9" x14ac:dyDescent="0.2">
      <c r="A309" s="157">
        <v>306</v>
      </c>
      <c r="B309" s="164" t="s">
        <v>550</v>
      </c>
      <c r="C309" s="159" t="s">
        <v>568</v>
      </c>
      <c r="D309" s="160">
        <v>4.2775488018557101E-2</v>
      </c>
      <c r="E309" s="158" t="s">
        <v>539</v>
      </c>
      <c r="F309" s="201">
        <f t="shared" si="17"/>
        <v>917.97908307344289</v>
      </c>
      <c r="G309" s="130">
        <f>3683/2</f>
        <v>1841.5</v>
      </c>
      <c r="H309" s="131">
        <f t="shared" si="19"/>
        <v>8.5809211384689929E-2</v>
      </c>
      <c r="I309" s="243"/>
    </row>
    <row r="310" spans="1:9" x14ac:dyDescent="0.2">
      <c r="A310" s="157">
        <v>307</v>
      </c>
      <c r="B310" s="164" t="s">
        <v>548</v>
      </c>
      <c r="C310" s="159" t="s">
        <v>568</v>
      </c>
      <c r="D310" s="160">
        <f>+H310</f>
        <v>0.13163780731020855</v>
      </c>
      <c r="E310" s="158" t="s">
        <v>545</v>
      </c>
      <c r="F310" s="201">
        <f t="shared" si="17"/>
        <v>2824.9999999999995</v>
      </c>
      <c r="G310" s="130">
        <v>2825</v>
      </c>
      <c r="H310" s="131">
        <f t="shared" si="19"/>
        <v>0.13163780731020855</v>
      </c>
      <c r="I310" s="244"/>
    </row>
    <row r="311" spans="1:9" s="38" customFormat="1" x14ac:dyDescent="0.2">
      <c r="A311" s="157">
        <v>308</v>
      </c>
      <c r="B311" s="172" t="s">
        <v>332</v>
      </c>
      <c r="C311" s="165" t="s">
        <v>17</v>
      </c>
      <c r="D311" s="166">
        <v>8.6125143661524358E-4</v>
      </c>
      <c r="E311" s="163" t="s">
        <v>339</v>
      </c>
      <c r="F311" s="201">
        <f t="shared" si="17"/>
        <v>18.482800330337774</v>
      </c>
      <c r="G311" s="167"/>
      <c r="H311" s="162">
        <f t="shared" si="19"/>
        <v>0</v>
      </c>
      <c r="I311" s="244"/>
    </row>
    <row r="312" spans="1:9" s="38" customFormat="1" x14ac:dyDescent="0.2">
      <c r="A312" s="157">
        <v>309</v>
      </c>
      <c r="B312" s="163" t="s">
        <v>160</v>
      </c>
      <c r="C312" s="165" t="s">
        <v>17</v>
      </c>
      <c r="D312" s="166">
        <f t="shared" ref="D312:D317" si="20">+H312</f>
        <v>3.3060893552776277E-2</v>
      </c>
      <c r="E312" s="163"/>
      <c r="F312" s="201">
        <f t="shared" si="17"/>
        <v>709.50000000000011</v>
      </c>
      <c r="G312" s="132">
        <f>+(750+669)/2</f>
        <v>709.5</v>
      </c>
      <c r="H312" s="131">
        <f t="shared" si="19"/>
        <v>3.3060893552776277E-2</v>
      </c>
      <c r="I312" s="243"/>
    </row>
    <row r="313" spans="1:9" s="38" customFormat="1" x14ac:dyDescent="0.2">
      <c r="A313" s="157">
        <v>310</v>
      </c>
      <c r="B313" s="172" t="s">
        <v>543</v>
      </c>
      <c r="C313" s="165" t="s">
        <v>17</v>
      </c>
      <c r="D313" s="166">
        <f t="shared" si="20"/>
        <v>1.9104956105198412E-2</v>
      </c>
      <c r="E313" s="163"/>
      <c r="F313" s="201">
        <f t="shared" si="17"/>
        <v>410</v>
      </c>
      <c r="G313" s="132">
        <v>410</v>
      </c>
      <c r="H313" s="131">
        <f t="shared" si="19"/>
        <v>1.9104956105198412E-2</v>
      </c>
      <c r="I313" s="243"/>
    </row>
    <row r="314" spans="1:9" s="38" customFormat="1" x14ac:dyDescent="0.2">
      <c r="A314" s="157">
        <v>311</v>
      </c>
      <c r="B314" s="163" t="s">
        <v>556</v>
      </c>
      <c r="C314" s="165" t="s">
        <v>17</v>
      </c>
      <c r="D314" s="166">
        <f t="shared" si="20"/>
        <v>0.22949246053195652</v>
      </c>
      <c r="E314" s="163"/>
      <c r="F314" s="201">
        <f t="shared" si="17"/>
        <v>4925</v>
      </c>
      <c r="G314" s="132">
        <v>4925</v>
      </c>
      <c r="H314" s="131">
        <f t="shared" si="19"/>
        <v>0.22949246053195652</v>
      </c>
      <c r="I314" s="243"/>
    </row>
    <row r="315" spans="1:9" s="38" customFormat="1" x14ac:dyDescent="0.2">
      <c r="A315" s="157">
        <v>312</v>
      </c>
      <c r="B315" s="163" t="s">
        <v>557</v>
      </c>
      <c r="C315" s="165" t="s">
        <v>17</v>
      </c>
      <c r="D315" s="166">
        <f t="shared" si="20"/>
        <v>0.23718104042795099</v>
      </c>
      <c r="E315" s="163"/>
      <c r="F315" s="201">
        <f t="shared" si="17"/>
        <v>5090</v>
      </c>
      <c r="G315" s="132">
        <v>5090</v>
      </c>
      <c r="H315" s="131">
        <f t="shared" si="19"/>
        <v>0.23718104042795099</v>
      </c>
      <c r="I315" s="243"/>
    </row>
    <row r="316" spans="1:9" s="38" customFormat="1" x14ac:dyDescent="0.2">
      <c r="A316" s="157">
        <v>313</v>
      </c>
      <c r="B316" s="163" t="s">
        <v>558</v>
      </c>
      <c r="C316" s="165" t="s">
        <v>17</v>
      </c>
      <c r="D316" s="166">
        <f t="shared" si="20"/>
        <v>9.7388678682596777E-2</v>
      </c>
      <c r="E316" s="163"/>
      <c r="F316" s="201">
        <f t="shared" si="17"/>
        <v>2090</v>
      </c>
      <c r="G316" s="132">
        <v>2090</v>
      </c>
      <c r="H316" s="131">
        <f t="shared" si="19"/>
        <v>9.7388678682596777E-2</v>
      </c>
      <c r="I316" s="243"/>
    </row>
    <row r="317" spans="1:9" s="38" customFormat="1" x14ac:dyDescent="0.2">
      <c r="A317" s="157">
        <v>314</v>
      </c>
      <c r="B317" s="163" t="s">
        <v>340</v>
      </c>
      <c r="C317" s="165" t="s">
        <v>17</v>
      </c>
      <c r="D317" s="166">
        <f t="shared" si="20"/>
        <v>0.93148310376321031</v>
      </c>
      <c r="E317" s="163"/>
      <c r="F317" s="201">
        <f t="shared" si="17"/>
        <v>19990</v>
      </c>
      <c r="G317" s="132">
        <v>19990</v>
      </c>
      <c r="H317" s="162">
        <f t="shared" si="19"/>
        <v>0.93148310376321031</v>
      </c>
      <c r="I317" s="244"/>
    </row>
    <row r="318" spans="1:9" s="38" customFormat="1" x14ac:dyDescent="0.2">
      <c r="A318" s="157">
        <v>315</v>
      </c>
      <c r="B318" s="163" t="s">
        <v>341</v>
      </c>
      <c r="C318" s="165" t="s">
        <v>17</v>
      </c>
      <c r="D318" s="166">
        <v>0.92440987530036145</v>
      </c>
      <c r="E318" s="163"/>
      <c r="F318" s="201">
        <f t="shared" si="17"/>
        <v>19838.205687895879</v>
      </c>
      <c r="G318" s="167"/>
      <c r="H318" s="162">
        <f t="shared" si="19"/>
        <v>0</v>
      </c>
      <c r="I318" s="244"/>
    </row>
    <row r="319" spans="1:9" s="38" customFormat="1" x14ac:dyDescent="0.2">
      <c r="A319" s="157">
        <v>316</v>
      </c>
      <c r="B319" s="170" t="s">
        <v>299</v>
      </c>
      <c r="C319" s="165" t="s">
        <v>38</v>
      </c>
      <c r="D319" s="166">
        <v>1.0852246574372411</v>
      </c>
      <c r="E319" s="163"/>
      <c r="F319" s="201">
        <f t="shared" si="17"/>
        <v>23289.355238466171</v>
      </c>
      <c r="G319" s="132"/>
      <c r="H319" s="162">
        <f t="shared" si="19"/>
        <v>0</v>
      </c>
      <c r="I319" s="244"/>
    </row>
    <row r="320" spans="1:9" s="38" customFormat="1" x14ac:dyDescent="0.2">
      <c r="A320" s="157">
        <v>317</v>
      </c>
      <c r="B320" s="170" t="s">
        <v>300</v>
      </c>
      <c r="C320" s="165" t="s">
        <v>17</v>
      </c>
      <c r="D320" s="166">
        <v>4.7847302034180199</v>
      </c>
      <c r="E320" s="163"/>
      <c r="F320" s="201">
        <f t="shared" si="17"/>
        <v>102682.22405743207</v>
      </c>
      <c r="G320" s="167"/>
      <c r="H320" s="162">
        <f t="shared" si="19"/>
        <v>0</v>
      </c>
      <c r="I320" s="244"/>
    </row>
    <row r="321" spans="1:11" s="38" customFormat="1" x14ac:dyDescent="0.2">
      <c r="A321" s="157">
        <v>318</v>
      </c>
      <c r="B321" s="164" t="s">
        <v>598</v>
      </c>
      <c r="C321" s="165" t="s">
        <v>17</v>
      </c>
      <c r="D321" s="166">
        <f>+H321</f>
        <v>4.3796946934819481</v>
      </c>
      <c r="E321" s="163"/>
      <c r="F321" s="201">
        <f t="shared" si="17"/>
        <v>93990</v>
      </c>
      <c r="G321" s="132">
        <v>93990</v>
      </c>
      <c r="H321" s="131">
        <f t="shared" si="19"/>
        <v>4.3796946934819481</v>
      </c>
      <c r="I321" s="243"/>
    </row>
    <row r="322" spans="1:11" s="38" customFormat="1" x14ac:dyDescent="0.2">
      <c r="A322" s="157">
        <v>319</v>
      </c>
      <c r="B322" s="164" t="s">
        <v>599</v>
      </c>
      <c r="C322" s="165" t="s">
        <v>17</v>
      </c>
      <c r="D322" s="166">
        <f>+H322</f>
        <v>2.0964194516411623</v>
      </c>
      <c r="E322" s="163"/>
      <c r="F322" s="201">
        <f t="shared" si="17"/>
        <v>44990</v>
      </c>
      <c r="G322" s="132">
        <v>44990</v>
      </c>
      <c r="H322" s="131">
        <f t="shared" si="19"/>
        <v>2.0964194516411623</v>
      </c>
      <c r="I322" s="243"/>
    </row>
    <row r="323" spans="1:11" s="38" customFormat="1" x14ac:dyDescent="0.2">
      <c r="A323" s="157">
        <v>320</v>
      </c>
      <c r="B323" s="163" t="s">
        <v>67</v>
      </c>
      <c r="C323" s="165" t="s">
        <v>278</v>
      </c>
      <c r="D323" s="166">
        <v>0.38277841627344161</v>
      </c>
      <c r="E323" s="163" t="s">
        <v>277</v>
      </c>
      <c r="F323" s="201">
        <f t="shared" si="17"/>
        <v>8214.5779245945669</v>
      </c>
      <c r="G323" s="167"/>
      <c r="H323" s="162">
        <f t="shared" si="19"/>
        <v>0</v>
      </c>
      <c r="I323" s="244"/>
    </row>
    <row r="324" spans="1:11" s="38" customFormat="1" x14ac:dyDescent="0.2">
      <c r="A324" s="157">
        <v>321</v>
      </c>
      <c r="B324" s="163" t="s">
        <v>297</v>
      </c>
      <c r="C324" s="165" t="s">
        <v>38</v>
      </c>
      <c r="D324" s="166">
        <v>0.3423474460545593</v>
      </c>
      <c r="E324" s="163"/>
      <c r="F324" s="201">
        <f t="shared" ref="F324:F330" si="21">D324*$F$1</f>
        <v>7346.9131313092648</v>
      </c>
      <c r="G324" s="167"/>
      <c r="H324" s="162">
        <f t="shared" si="19"/>
        <v>0</v>
      </c>
      <c r="I324" s="244"/>
    </row>
    <row r="325" spans="1:11" s="38" customFormat="1" x14ac:dyDescent="0.2">
      <c r="A325" s="157">
        <v>322</v>
      </c>
      <c r="B325" s="163" t="s">
        <v>45</v>
      </c>
      <c r="C325" s="165" t="s">
        <v>17</v>
      </c>
      <c r="D325" s="166">
        <v>1.5274772701391688</v>
      </c>
      <c r="E325" s="163"/>
      <c r="F325" s="201">
        <f t="shared" si="21"/>
        <v>32780.273208094623</v>
      </c>
      <c r="G325" s="167"/>
      <c r="H325" s="162">
        <f t="shared" si="19"/>
        <v>0</v>
      </c>
      <c r="I325" s="244"/>
    </row>
    <row r="326" spans="1:11" s="38" customFormat="1" x14ac:dyDescent="0.2">
      <c r="A326" s="157">
        <v>323</v>
      </c>
      <c r="B326" s="163" t="s">
        <v>58</v>
      </c>
      <c r="C326" s="165" t="s">
        <v>19</v>
      </c>
      <c r="D326" s="166">
        <v>0.13751314604623388</v>
      </c>
      <c r="E326" s="163" t="s">
        <v>513</v>
      </c>
      <c r="F326" s="201">
        <f t="shared" si="21"/>
        <v>2951.0871194105976</v>
      </c>
      <c r="G326" s="167"/>
      <c r="H326" s="162">
        <f t="shared" si="19"/>
        <v>0</v>
      </c>
      <c r="I326" s="244"/>
    </row>
    <row r="327" spans="1:11" s="38" customFormat="1" x14ac:dyDescent="0.2">
      <c r="A327" s="157">
        <v>324</v>
      </c>
      <c r="B327" s="163" t="s">
        <v>181</v>
      </c>
      <c r="C327" s="165" t="s">
        <v>38</v>
      </c>
      <c r="D327" s="166">
        <v>0.10526406447519644</v>
      </c>
      <c r="E327" s="163"/>
      <c r="F327" s="201">
        <f t="shared" si="21"/>
        <v>2259.0089292635057</v>
      </c>
      <c r="G327" s="167"/>
      <c r="H327" s="162">
        <f t="shared" si="19"/>
        <v>0</v>
      </c>
      <c r="I327" s="244"/>
    </row>
    <row r="328" spans="1:11" s="38" customFormat="1" x14ac:dyDescent="0.2">
      <c r="A328" s="157">
        <v>325</v>
      </c>
      <c r="B328" s="163" t="s">
        <v>182</v>
      </c>
      <c r="C328" s="165" t="s">
        <v>38</v>
      </c>
      <c r="D328" s="166">
        <v>0.12679535039057752</v>
      </c>
      <c r="E328" s="163"/>
      <c r="F328" s="201">
        <f t="shared" si="21"/>
        <v>2721.0789375219497</v>
      </c>
      <c r="G328" s="167"/>
      <c r="H328" s="162">
        <f t="shared" si="19"/>
        <v>0</v>
      </c>
      <c r="I328" s="244"/>
    </row>
    <row r="329" spans="1:11" s="38" customFormat="1" x14ac:dyDescent="0.2">
      <c r="A329" s="157">
        <v>326</v>
      </c>
      <c r="B329" s="163" t="s">
        <v>504</v>
      </c>
      <c r="C329" s="165" t="s">
        <v>38</v>
      </c>
      <c r="D329" s="166">
        <v>0.13397244569570455</v>
      </c>
      <c r="E329" s="163"/>
      <c r="F329" s="201">
        <f t="shared" si="21"/>
        <v>2875.1022736080981</v>
      </c>
      <c r="G329" s="167"/>
      <c r="H329" s="162">
        <f t="shared" si="19"/>
        <v>0</v>
      </c>
      <c r="I329" s="244"/>
    </row>
    <row r="330" spans="1:11" x14ac:dyDescent="0.2">
      <c r="A330" s="157">
        <v>327</v>
      </c>
      <c r="B330" s="158" t="s">
        <v>180</v>
      </c>
      <c r="C330" s="159" t="s">
        <v>38</v>
      </c>
      <c r="D330" s="160">
        <v>7.6555683254688325E-2</v>
      </c>
      <c r="E330" s="158"/>
      <c r="F330" s="201">
        <f t="shared" si="21"/>
        <v>1642.9155849189135</v>
      </c>
      <c r="G330" s="161"/>
      <c r="H330" s="162">
        <f t="shared" si="19"/>
        <v>0</v>
      </c>
      <c r="I330" s="244"/>
    </row>
    <row r="331" spans="1:11" ht="13.5" thickBot="1" x14ac:dyDescent="0.25">
      <c r="A331" s="178">
        <v>328</v>
      </c>
      <c r="B331" s="179" t="s">
        <v>93</v>
      </c>
      <c r="C331" s="180" t="s">
        <v>11</v>
      </c>
      <c r="D331" s="181">
        <v>0.28999999999999998</v>
      </c>
      <c r="E331" s="182"/>
      <c r="F331" s="202"/>
      <c r="G331" s="183"/>
      <c r="H331" s="184"/>
      <c r="I331" s="245"/>
    </row>
    <row r="332" spans="1:11" ht="13.5" thickBot="1" x14ac:dyDescent="0.25">
      <c r="A332" s="155"/>
      <c r="B332" s="155"/>
      <c r="C332" s="155"/>
      <c r="D332" s="155"/>
      <c r="E332" s="155"/>
      <c r="F332" s="185"/>
      <c r="G332" s="186"/>
      <c r="H332" s="187"/>
      <c r="I332" s="185"/>
    </row>
    <row r="333" spans="1:11" s="117" customFormat="1" ht="27" customHeight="1" thickBot="1" x14ac:dyDescent="0.25">
      <c r="A333" s="286" t="s">
        <v>518</v>
      </c>
      <c r="B333" s="287" t="s">
        <v>366</v>
      </c>
      <c r="C333" s="287" t="s">
        <v>16</v>
      </c>
      <c r="D333" s="287" t="s">
        <v>653</v>
      </c>
      <c r="E333" s="287" t="s">
        <v>664</v>
      </c>
      <c r="F333" s="280" t="s">
        <v>665</v>
      </c>
      <c r="G333" s="288"/>
      <c r="H333" s="288"/>
      <c r="I333" s="289" t="s">
        <v>516</v>
      </c>
    </row>
    <row r="334" spans="1:11" x14ac:dyDescent="0.2">
      <c r="A334" s="290">
        <v>1</v>
      </c>
      <c r="B334" s="291" t="s">
        <v>95</v>
      </c>
      <c r="C334" s="292" t="s">
        <v>33</v>
      </c>
      <c r="D334" s="293">
        <f>+E334/30</f>
        <v>0.70176042983464293</v>
      </c>
      <c r="E334" s="294">
        <f t="shared" ref="E334:E350" si="22">+F334/$F$1</f>
        <v>21.052812895039288</v>
      </c>
      <c r="F334" s="282">
        <v>451801.78585270117</v>
      </c>
      <c r="G334" s="295"/>
      <c r="H334" s="295"/>
      <c r="I334" s="298"/>
      <c r="J334" s="285"/>
      <c r="K334" s="8"/>
    </row>
    <row r="335" spans="1:11" x14ac:dyDescent="0.2">
      <c r="A335" s="118">
        <v>2</v>
      </c>
      <c r="B335" s="81" t="s">
        <v>10</v>
      </c>
      <c r="C335" s="110" t="s">
        <v>33</v>
      </c>
      <c r="D335" s="111">
        <f t="shared" ref="D335:D349" si="23">+E335/30</f>
        <v>0.35088021491732146</v>
      </c>
      <c r="E335" s="128">
        <f t="shared" si="22"/>
        <v>10.526406447519644</v>
      </c>
      <c r="F335" s="281">
        <v>225900.89292635059</v>
      </c>
      <c r="G335" s="8"/>
      <c r="H335" s="8"/>
      <c r="I335" s="299"/>
      <c r="J335" s="285"/>
      <c r="K335" s="8"/>
    </row>
    <row r="336" spans="1:11" x14ac:dyDescent="0.2">
      <c r="A336" s="118">
        <v>3</v>
      </c>
      <c r="B336" s="81" t="s">
        <v>83</v>
      </c>
      <c r="C336" s="110" t="s">
        <v>33</v>
      </c>
      <c r="D336" s="111">
        <f t="shared" si="23"/>
        <v>0.84211251580157165</v>
      </c>
      <c r="E336" s="128">
        <f t="shared" si="22"/>
        <v>25.263375474047148</v>
      </c>
      <c r="F336" s="281">
        <v>542162.14302324143</v>
      </c>
      <c r="G336" s="8"/>
      <c r="H336" s="8"/>
      <c r="I336" s="299"/>
      <c r="J336" s="285"/>
      <c r="K336" s="8"/>
    </row>
    <row r="337" spans="1:11" x14ac:dyDescent="0.2">
      <c r="A337" s="118">
        <v>4</v>
      </c>
      <c r="B337" s="81" t="s">
        <v>220</v>
      </c>
      <c r="C337" s="110" t="s">
        <v>33</v>
      </c>
      <c r="D337" s="111">
        <f t="shared" si="23"/>
        <v>0.70176042983464293</v>
      </c>
      <c r="E337" s="128">
        <f t="shared" si="22"/>
        <v>21.052812895039288</v>
      </c>
      <c r="F337" s="281">
        <v>451801.78585270117</v>
      </c>
      <c r="G337" s="8"/>
      <c r="H337" s="8"/>
      <c r="I337" s="299"/>
      <c r="J337" s="285"/>
      <c r="K337" s="8"/>
    </row>
    <row r="338" spans="1:11" x14ac:dyDescent="0.2">
      <c r="A338" s="118">
        <v>5</v>
      </c>
      <c r="B338" s="81" t="s">
        <v>399</v>
      </c>
      <c r="C338" s="110" t="s">
        <v>33</v>
      </c>
      <c r="D338" s="111">
        <f t="shared" si="23"/>
        <v>0.94737658027676797</v>
      </c>
      <c r="E338" s="128">
        <f t="shared" si="22"/>
        <v>28.42129740830304</v>
      </c>
      <c r="F338" s="281">
        <v>609932.41090114659</v>
      </c>
      <c r="G338" s="8"/>
      <c r="H338" s="8"/>
      <c r="I338" s="299"/>
      <c r="J338" s="285"/>
      <c r="K338" s="8"/>
    </row>
    <row r="339" spans="1:11" x14ac:dyDescent="0.2">
      <c r="A339" s="118">
        <v>6</v>
      </c>
      <c r="B339" s="81" t="s">
        <v>140</v>
      </c>
      <c r="C339" s="110" t="s">
        <v>33</v>
      </c>
      <c r="D339" s="111">
        <f t="shared" si="23"/>
        <v>0.70176042983464293</v>
      </c>
      <c r="E339" s="128">
        <f t="shared" si="22"/>
        <v>21.052812895039288</v>
      </c>
      <c r="F339" s="281">
        <v>451801.78585270117</v>
      </c>
      <c r="G339" s="8"/>
      <c r="H339" s="8"/>
      <c r="I339" s="299"/>
      <c r="J339" s="285"/>
      <c r="K339" s="8"/>
    </row>
    <row r="340" spans="1:11" x14ac:dyDescent="0.2">
      <c r="A340" s="118">
        <v>7</v>
      </c>
      <c r="B340" s="81" t="s">
        <v>355</v>
      </c>
      <c r="C340" s="110" t="s">
        <v>33</v>
      </c>
      <c r="D340" s="111">
        <f t="shared" si="23"/>
        <v>0.94737658027676797</v>
      </c>
      <c r="E340" s="128">
        <f t="shared" si="22"/>
        <v>28.42129740830304</v>
      </c>
      <c r="F340" s="281">
        <v>609932.41090114659</v>
      </c>
      <c r="G340" s="8"/>
      <c r="H340" s="8"/>
      <c r="I340" s="299"/>
      <c r="J340" s="285"/>
      <c r="K340" s="8"/>
    </row>
    <row r="341" spans="1:11" x14ac:dyDescent="0.2">
      <c r="A341" s="118">
        <v>8</v>
      </c>
      <c r="B341" s="81" t="s">
        <v>166</v>
      </c>
      <c r="C341" s="110" t="s">
        <v>33</v>
      </c>
      <c r="D341" s="111">
        <f t="shared" si="23"/>
        <v>0.56140834386771443</v>
      </c>
      <c r="E341" s="128">
        <f t="shared" si="22"/>
        <v>16.842250316031432</v>
      </c>
      <c r="F341" s="281">
        <v>361441.42868216097</v>
      </c>
      <c r="G341" s="8"/>
      <c r="H341" s="8"/>
      <c r="I341" s="299"/>
      <c r="J341" s="285"/>
      <c r="K341" s="8"/>
    </row>
    <row r="342" spans="1:11" x14ac:dyDescent="0.2">
      <c r="A342" s="118">
        <v>9</v>
      </c>
      <c r="B342" s="81" t="s">
        <v>266</v>
      </c>
      <c r="C342" s="110" t="s">
        <v>33</v>
      </c>
      <c r="D342" s="111">
        <f>+E342/30</f>
        <v>0.87720053729330372</v>
      </c>
      <c r="E342" s="128">
        <f t="shared" si="22"/>
        <v>26.316016118799112</v>
      </c>
      <c r="F342" s="281">
        <v>564752.23231587652</v>
      </c>
      <c r="G342" s="8"/>
      <c r="H342" s="8"/>
      <c r="I342" s="299"/>
      <c r="J342" s="285"/>
      <c r="K342" s="8"/>
    </row>
    <row r="343" spans="1:11" x14ac:dyDescent="0.2">
      <c r="A343" s="118">
        <v>10</v>
      </c>
      <c r="B343" s="81" t="s">
        <v>98</v>
      </c>
      <c r="C343" s="110" t="s">
        <v>33</v>
      </c>
      <c r="D343" s="111">
        <f t="shared" si="23"/>
        <v>0.73684845132637522</v>
      </c>
      <c r="E343" s="128">
        <f t="shared" si="22"/>
        <v>22.105453539791256</v>
      </c>
      <c r="F343" s="281">
        <v>474391.87514533626</v>
      </c>
      <c r="G343" s="8"/>
      <c r="H343" s="8"/>
      <c r="I343" s="299"/>
      <c r="J343" s="285"/>
      <c r="K343" s="8"/>
    </row>
    <row r="344" spans="1:11" x14ac:dyDescent="0.2">
      <c r="A344" s="118">
        <v>11</v>
      </c>
      <c r="B344" s="81" t="s">
        <v>1</v>
      </c>
      <c r="C344" s="110" t="s">
        <v>33</v>
      </c>
      <c r="D344" s="111">
        <f t="shared" si="23"/>
        <v>0.35090000000000005</v>
      </c>
      <c r="E344" s="128">
        <f t="shared" si="22"/>
        <v>10.527000000000001</v>
      </c>
      <c r="F344" s="281">
        <v>225913.63080000004</v>
      </c>
      <c r="G344" s="8"/>
      <c r="H344" s="8"/>
      <c r="I344" s="299"/>
      <c r="J344" s="285"/>
      <c r="K344" s="8"/>
    </row>
    <row r="345" spans="1:11" x14ac:dyDescent="0.2">
      <c r="A345" s="118">
        <v>12</v>
      </c>
      <c r="B345" s="81" t="s">
        <v>96</v>
      </c>
      <c r="C345" s="110" t="s">
        <v>33</v>
      </c>
      <c r="D345" s="111">
        <f t="shared" si="23"/>
        <v>0.92983256953090243</v>
      </c>
      <c r="E345" s="128">
        <f t="shared" si="22"/>
        <v>27.894977085927074</v>
      </c>
      <c r="F345" s="281">
        <v>598637.36625482945</v>
      </c>
      <c r="G345" s="8"/>
      <c r="H345" s="8"/>
      <c r="I345" s="299"/>
      <c r="J345" s="285"/>
      <c r="K345" s="8"/>
    </row>
    <row r="346" spans="1:11" x14ac:dyDescent="0.2">
      <c r="A346" s="118">
        <v>13</v>
      </c>
      <c r="B346" s="81" t="s">
        <v>97</v>
      </c>
      <c r="C346" s="110" t="s">
        <v>33</v>
      </c>
      <c r="D346" s="111">
        <f t="shared" si="23"/>
        <v>0.84211251580157165</v>
      </c>
      <c r="E346" s="128">
        <f t="shared" si="22"/>
        <v>25.263375474047148</v>
      </c>
      <c r="F346" s="281">
        <v>542162.14302324143</v>
      </c>
      <c r="G346" s="8"/>
      <c r="H346" s="8"/>
      <c r="I346" s="299"/>
      <c r="J346" s="285"/>
      <c r="K346" s="8"/>
    </row>
    <row r="347" spans="1:11" x14ac:dyDescent="0.2">
      <c r="A347" s="118">
        <v>14</v>
      </c>
      <c r="B347" s="81" t="s">
        <v>351</v>
      </c>
      <c r="C347" s="110" t="s">
        <v>33</v>
      </c>
      <c r="D347" s="111">
        <f t="shared" si="23"/>
        <v>0.70176042983464293</v>
      </c>
      <c r="E347" s="128">
        <f t="shared" si="22"/>
        <v>21.052812895039288</v>
      </c>
      <c r="F347" s="281">
        <v>451801.78585270117</v>
      </c>
      <c r="G347" s="8"/>
      <c r="H347" s="8"/>
      <c r="I347" s="299"/>
      <c r="J347" s="285"/>
      <c r="K347" s="8"/>
    </row>
    <row r="348" spans="1:11" x14ac:dyDescent="0.2">
      <c r="A348" s="118">
        <v>15</v>
      </c>
      <c r="B348" s="81" t="s">
        <v>127</v>
      </c>
      <c r="C348" s="110" t="s">
        <v>33</v>
      </c>
      <c r="D348" s="111">
        <f t="shared" si="23"/>
        <v>0.84260000000000024</v>
      </c>
      <c r="E348" s="128">
        <f t="shared" si="22"/>
        <v>25.278000000000006</v>
      </c>
      <c r="F348" s="281">
        <v>542475.99120000016</v>
      </c>
      <c r="G348" s="8"/>
      <c r="H348" s="8"/>
      <c r="I348" s="299"/>
      <c r="J348" s="285"/>
      <c r="K348" s="8"/>
    </row>
    <row r="349" spans="1:11" x14ac:dyDescent="0.2">
      <c r="A349" s="118">
        <v>16</v>
      </c>
      <c r="B349" s="81" t="s">
        <v>89</v>
      </c>
      <c r="C349" s="110" t="s">
        <v>33</v>
      </c>
      <c r="D349" s="111">
        <f t="shared" si="23"/>
        <v>0.73684845132637522</v>
      </c>
      <c r="E349" s="128">
        <f t="shared" si="22"/>
        <v>22.105453539791256</v>
      </c>
      <c r="F349" s="281">
        <v>474391.87514533626</v>
      </c>
      <c r="G349" s="8"/>
      <c r="H349" s="8"/>
      <c r="I349" s="299"/>
      <c r="J349" s="285"/>
      <c r="K349" s="8"/>
    </row>
    <row r="350" spans="1:11" ht="13.5" thickBot="1" x14ac:dyDescent="0.25">
      <c r="A350" s="119">
        <v>17</v>
      </c>
      <c r="B350" s="120" t="s">
        <v>194</v>
      </c>
      <c r="C350" s="121" t="s">
        <v>33</v>
      </c>
      <c r="D350" s="122">
        <f>+E350/30</f>
        <v>0.70176042983464293</v>
      </c>
      <c r="E350" s="296">
        <f t="shared" si="22"/>
        <v>21.052812895039288</v>
      </c>
      <c r="F350" s="297">
        <v>451801.78585270117</v>
      </c>
      <c r="G350" s="123"/>
      <c r="H350" s="123"/>
      <c r="I350" s="300"/>
      <c r="J350" s="285"/>
      <c r="K350" s="8"/>
    </row>
    <row r="351" spans="1:11" x14ac:dyDescent="0.2">
      <c r="F351" s="279"/>
      <c r="J351" s="8"/>
      <c r="K351" s="8"/>
    </row>
    <row r="352" spans="1:11" x14ac:dyDescent="0.2">
      <c r="E352" s="284"/>
      <c r="F352" s="283"/>
      <c r="G352" s="283"/>
      <c r="H352" s="283"/>
      <c r="I352" s="283"/>
      <c r="J352" s="283"/>
      <c r="K352" s="8"/>
    </row>
    <row r="353" spans="5:10" x14ac:dyDescent="0.2">
      <c r="E353" s="325"/>
      <c r="F353" s="325"/>
      <c r="G353" s="325"/>
      <c r="H353" s="325"/>
      <c r="I353" s="325"/>
      <c r="J353" s="325"/>
    </row>
    <row r="354" spans="5:10" x14ac:dyDescent="0.2">
      <c r="E354" s="325"/>
      <c r="F354" s="325"/>
      <c r="G354" s="325"/>
      <c r="H354" s="325"/>
      <c r="I354" s="325"/>
      <c r="J354" s="325"/>
    </row>
    <row r="355" spans="5:10" x14ac:dyDescent="0.2">
      <c r="E355" s="325"/>
      <c r="F355" s="325"/>
      <c r="G355" s="325"/>
      <c r="H355" s="325"/>
      <c r="I355" s="325"/>
      <c r="J355" s="325"/>
    </row>
    <row r="356" spans="5:10" x14ac:dyDescent="0.2">
      <c r="E356" s="325"/>
      <c r="F356" s="325"/>
      <c r="G356" s="325"/>
      <c r="H356" s="325"/>
      <c r="I356" s="325"/>
      <c r="J356" s="325"/>
    </row>
  </sheetData>
  <autoFilter ref="A3:E350"/>
  <customSheetViews>
    <customSheetView guid="{4343EAB4-2D43-465E-91A1-08A16D649EDB}" scale="85" printArea="1" showAutoFilter="1" showRuler="0">
      <pane xSplit="2" ySplit="3" topLeftCell="C76" activePane="bottomRight" state="frozen"/>
      <selection pane="bottomRight" activeCell="D88" sqref="D88"/>
      <pageMargins left="0.39370078740157483" right="0.39370078740157483" top="0.59055118110236227" bottom="0.59055118110236227" header="0" footer="0"/>
      <pageSetup scale="65" orientation="portrait" r:id="rId1"/>
      <headerFooter alignWithMargins="0"/>
      <autoFilter ref="B1:G1"/>
    </customSheetView>
  </customSheetViews>
  <mergeCells count="1">
    <mergeCell ref="E353:J356"/>
  </mergeCells>
  <phoneticPr fontId="0" type="noConversion"/>
  <pageMargins left="0.59055118110236227" right="0.59055118110236227" top="0.59055118110236227" bottom="0.59055118110236227" header="0" footer="0"/>
  <pageSetup paperSize="154" scale="70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tabColor indexed="44"/>
  </sheetPr>
  <dimension ref="A1:W2144"/>
  <sheetViews>
    <sheetView tabSelected="1" zoomScaleNormal="75" zoomScaleSheetLayoutView="75" workbookViewId="0">
      <pane ySplit="3" topLeftCell="A205" activePane="bottomLeft" state="frozen"/>
      <selection pane="bottomLeft" activeCell="B146" sqref="B146"/>
    </sheetView>
  </sheetViews>
  <sheetFormatPr baseColWidth="10" defaultRowHeight="12.75" x14ac:dyDescent="0.2"/>
  <cols>
    <col min="1" max="1" width="5.7109375" style="140" bestFit="1" customWidth="1"/>
    <col min="2" max="2" width="80.42578125" style="4" customWidth="1"/>
    <col min="3" max="3" width="9.7109375" style="7" customWidth="1"/>
    <col min="4" max="4" width="16" style="4" customWidth="1"/>
    <col min="5" max="5" width="13.7109375" style="4" customWidth="1"/>
    <col min="6" max="6" width="11.7109375" style="141" customWidth="1"/>
    <col min="7" max="7" width="22" style="142" customWidth="1"/>
    <col min="8" max="8" width="22" style="114" customWidth="1"/>
    <col min="9" max="9" width="8.140625" style="55" hidden="1" customWidth="1"/>
    <col min="10" max="10" width="3.5703125" style="55" hidden="1" customWidth="1"/>
    <col min="11" max="11" width="0" style="59" hidden="1" customWidth="1"/>
  </cols>
  <sheetData>
    <row r="1" spans="1:12" x14ac:dyDescent="0.2">
      <c r="A1" s="332" t="s">
        <v>678</v>
      </c>
      <c r="B1" s="333"/>
      <c r="C1" s="333"/>
      <c r="D1" s="333"/>
      <c r="E1" s="333"/>
      <c r="F1" s="333"/>
      <c r="G1" s="114"/>
    </row>
    <row r="2" spans="1:12" ht="13.5" thickBot="1" x14ac:dyDescent="0.25">
      <c r="A2" s="271"/>
      <c r="B2" s="272"/>
      <c r="C2" s="273"/>
      <c r="D2" s="272"/>
      <c r="E2" s="272"/>
      <c r="F2" s="274"/>
      <c r="G2" s="114"/>
    </row>
    <row r="3" spans="1:12" s="115" customFormat="1" ht="27.75" customHeight="1" thickBot="1" x14ac:dyDescent="0.25">
      <c r="A3" s="246" t="s">
        <v>518</v>
      </c>
      <c r="B3" s="195" t="s">
        <v>310</v>
      </c>
      <c r="C3" s="196" t="s">
        <v>16</v>
      </c>
      <c r="D3" s="196" t="s">
        <v>40</v>
      </c>
      <c r="E3" s="196" t="s">
        <v>460</v>
      </c>
      <c r="F3" s="198" t="s">
        <v>517</v>
      </c>
      <c r="G3" s="197" t="s">
        <v>516</v>
      </c>
      <c r="H3" s="148"/>
      <c r="I3" s="149" t="s">
        <v>660</v>
      </c>
      <c r="J3" s="149" t="s">
        <v>537</v>
      </c>
      <c r="K3" s="150" t="s">
        <v>661</v>
      </c>
      <c r="L3" s="151"/>
    </row>
    <row r="4" spans="1:12" ht="27.75" customHeight="1" thickBot="1" x14ac:dyDescent="0.3">
      <c r="A4" s="262" t="s">
        <v>671</v>
      </c>
      <c r="B4" s="326" t="s">
        <v>668</v>
      </c>
      <c r="C4" s="327"/>
      <c r="D4" s="327"/>
      <c r="E4" s="327"/>
      <c r="F4" s="328"/>
      <c r="G4" s="194"/>
    </row>
    <row r="5" spans="1:12" s="9" customFormat="1" ht="12" customHeight="1" x14ac:dyDescent="0.2">
      <c r="A5" s="263">
        <v>1</v>
      </c>
      <c r="B5" s="264" t="s">
        <v>356</v>
      </c>
      <c r="C5" s="265" t="s">
        <v>38</v>
      </c>
      <c r="D5" s="265"/>
      <c r="E5" s="266"/>
      <c r="F5" s="269">
        <f>SUM(F6:F11)</f>
        <v>0.14608586074084534</v>
      </c>
      <c r="G5" s="301"/>
      <c r="H5" s="83"/>
      <c r="I5" s="53"/>
      <c r="J5" s="53"/>
      <c r="K5" s="57"/>
    </row>
    <row r="6" spans="1:12" s="3" customFormat="1" ht="48.75" customHeight="1" x14ac:dyDescent="0.2">
      <c r="A6" s="205"/>
      <c r="B6" s="12" t="s">
        <v>8</v>
      </c>
      <c r="C6" s="11" t="s">
        <v>19</v>
      </c>
      <c r="D6" s="11">
        <v>0.16</v>
      </c>
      <c r="E6" s="44">
        <f>VLOOKUP(B6,'Costo de Materiales'!B$4:D$350,3,FALSE)</f>
        <v>0.15330562338073847</v>
      </c>
      <c r="F6" s="206">
        <f t="shared" ref="F6:F11" si="0">D6*E6</f>
        <v>2.4528899740918157E-2</v>
      </c>
      <c r="G6" s="302"/>
      <c r="H6" s="83"/>
      <c r="I6" s="53"/>
      <c r="J6" s="53"/>
      <c r="K6" s="58"/>
    </row>
    <row r="7" spans="1:12" s="3" customFormat="1" ht="12" customHeight="1" x14ac:dyDescent="0.2">
      <c r="A7" s="205"/>
      <c r="B7" s="12" t="s">
        <v>22</v>
      </c>
      <c r="C7" s="11" t="s">
        <v>6</v>
      </c>
      <c r="D7" s="11">
        <v>0.02</v>
      </c>
      <c r="E7" s="44">
        <f>VLOOKUP(B7,'Costo de Materiales'!B$4:D$350,3,FALSE)</f>
        <v>0.328007463222171</v>
      </c>
      <c r="F7" s="206">
        <f t="shared" si="0"/>
        <v>6.5601492644434198E-3</v>
      </c>
      <c r="G7" s="302"/>
      <c r="H7" s="83"/>
      <c r="I7" s="53"/>
      <c r="J7" s="53"/>
      <c r="K7" s="58"/>
    </row>
    <row r="8" spans="1:12" s="3" customFormat="1" ht="12" customHeight="1" x14ac:dyDescent="0.2">
      <c r="A8" s="205"/>
      <c r="B8" s="12" t="s">
        <v>111</v>
      </c>
      <c r="C8" s="11" t="s">
        <v>11</v>
      </c>
      <c r="D8" s="11">
        <v>0.03</v>
      </c>
      <c r="E8" s="44">
        <f>SUM(F6:F7)</f>
        <v>3.1089049005361576E-2</v>
      </c>
      <c r="F8" s="206">
        <f t="shared" si="0"/>
        <v>9.3267147016084725E-4</v>
      </c>
      <c r="G8" s="302"/>
      <c r="H8" s="83"/>
      <c r="I8" s="53"/>
      <c r="J8" s="53"/>
      <c r="K8" s="58"/>
    </row>
    <row r="9" spans="1:12" s="3" customFormat="1" ht="12" customHeight="1" x14ac:dyDescent="0.2">
      <c r="A9" s="205"/>
      <c r="B9" s="12" t="s">
        <v>96</v>
      </c>
      <c r="C9" s="11" t="s">
        <v>33</v>
      </c>
      <c r="D9" s="11">
        <v>0.08</v>
      </c>
      <c r="E9" s="44">
        <f>VLOOKUP(B9,'Costo de Materiales'!B$4:D$350,3,FALSE)</f>
        <v>0.92983256953090243</v>
      </c>
      <c r="F9" s="206">
        <f t="shared" si="0"/>
        <v>7.4386605562472202E-2</v>
      </c>
      <c r="G9" s="302"/>
      <c r="H9" s="83"/>
      <c r="I9" s="53"/>
      <c r="J9" s="53"/>
      <c r="K9" s="58"/>
    </row>
    <row r="10" spans="1:12" s="3" customFormat="1" ht="12" customHeight="1" x14ac:dyDescent="0.2">
      <c r="A10" s="205"/>
      <c r="B10" s="12" t="s">
        <v>10</v>
      </c>
      <c r="C10" s="11" t="s">
        <v>33</v>
      </c>
      <c r="D10" s="11">
        <v>0.04</v>
      </c>
      <c r="E10" s="44">
        <f>VLOOKUP(B10,'Costo de Materiales'!B$4:D$350,3,FALSE)</f>
        <v>0.35088021491732146</v>
      </c>
      <c r="F10" s="206">
        <f t="shared" si="0"/>
        <v>1.4035208596692859E-2</v>
      </c>
      <c r="G10" s="302"/>
      <c r="H10" s="83"/>
      <c r="I10" s="53"/>
      <c r="J10" s="53"/>
      <c r="K10" s="58"/>
    </row>
    <row r="11" spans="1:12" s="3" customFormat="1" ht="12" customHeight="1" x14ac:dyDescent="0.2">
      <c r="A11" s="207"/>
      <c r="B11" s="26" t="s">
        <v>109</v>
      </c>
      <c r="C11" s="23" t="s">
        <v>11</v>
      </c>
      <c r="D11" s="103">
        <f>VLOOKUP(B11,'Costo de Materiales'!B$4:D$350,3,FALSE)</f>
        <v>0.28999999999999998</v>
      </c>
      <c r="E11" s="45">
        <f>SUM(F9:F10)</f>
        <v>8.8421814159165057E-2</v>
      </c>
      <c r="F11" s="208">
        <f t="shared" si="0"/>
        <v>2.5642326106157864E-2</v>
      </c>
      <c r="G11" s="302"/>
      <c r="H11" s="83"/>
      <c r="I11" s="53"/>
      <c r="J11" s="53"/>
      <c r="K11" s="58"/>
    </row>
    <row r="12" spans="1:12" ht="12" customHeight="1" x14ac:dyDescent="0.2">
      <c r="A12" s="209">
        <f>+A5+1</f>
        <v>2</v>
      </c>
      <c r="B12" s="88" t="s">
        <v>662</v>
      </c>
      <c r="C12" s="91" t="s">
        <v>38</v>
      </c>
      <c r="D12" s="91"/>
      <c r="E12" s="92"/>
      <c r="F12" s="210">
        <f>SUM(F13:F21)</f>
        <v>1.0728037896262752</v>
      </c>
      <c r="G12" s="303"/>
      <c r="H12" s="83"/>
      <c r="I12" s="53"/>
      <c r="J12" s="53"/>
    </row>
    <row r="13" spans="1:12" s="3" customFormat="1" ht="12" customHeight="1" x14ac:dyDescent="0.2">
      <c r="A13" s="205"/>
      <c r="B13" s="12" t="s">
        <v>8</v>
      </c>
      <c r="C13" s="11" t="s">
        <v>19</v>
      </c>
      <c r="D13" s="11">
        <v>0.18</v>
      </c>
      <c r="E13" s="44">
        <f>VLOOKUP(B13,'Costo de Materiales'!B$4:D$350,3,FALSE)</f>
        <v>0.15330562338073847</v>
      </c>
      <c r="F13" s="206">
        <f>D13*E13</f>
        <v>2.7595012208532922E-2</v>
      </c>
      <c r="G13" s="302"/>
      <c r="H13" s="83"/>
      <c r="I13" s="53"/>
      <c r="J13" s="53"/>
      <c r="K13" s="58"/>
    </row>
    <row r="14" spans="1:12" s="3" customFormat="1" ht="12" customHeight="1" x14ac:dyDescent="0.2">
      <c r="A14" s="205"/>
      <c r="B14" s="12" t="s">
        <v>9</v>
      </c>
      <c r="C14" s="11" t="s">
        <v>6</v>
      </c>
      <c r="D14" s="11">
        <v>4.2999999999999997E-2</v>
      </c>
      <c r="E14" s="44">
        <f>VLOOKUP(B14,'Costo de Materiales'!B$4:D$350,3,FALSE)</f>
        <v>0.31100746322217132</v>
      </c>
      <c r="F14" s="206">
        <f t="shared" ref="F14:F21" si="1">D14*E14</f>
        <v>1.3373320918553366E-2</v>
      </c>
      <c r="G14" s="302"/>
      <c r="H14" s="83"/>
      <c r="I14" s="53"/>
      <c r="J14" s="53"/>
      <c r="K14" s="58"/>
    </row>
    <row r="15" spans="1:12" s="3" customFormat="1" ht="12" customHeight="1" x14ac:dyDescent="0.2">
      <c r="A15" s="205"/>
      <c r="B15" s="12" t="s">
        <v>656</v>
      </c>
      <c r="C15" s="11" t="s">
        <v>17</v>
      </c>
      <c r="D15" s="11">
        <v>13.5</v>
      </c>
      <c r="E15" s="44">
        <f>VLOOKUP(B15,'Costo de Materiales'!B$4:D$350,3,FALSE)</f>
        <v>4.1005759445303908E-2</v>
      </c>
      <c r="F15" s="206">
        <f t="shared" si="1"/>
        <v>0.55357775251160279</v>
      </c>
      <c r="G15" s="302"/>
      <c r="H15" s="83"/>
      <c r="I15" s="53"/>
      <c r="J15" s="53"/>
      <c r="K15" s="58"/>
    </row>
    <row r="16" spans="1:12" s="3" customFormat="1" x14ac:dyDescent="0.2">
      <c r="A16" s="205"/>
      <c r="B16" s="10" t="s">
        <v>527</v>
      </c>
      <c r="C16" s="11" t="s">
        <v>568</v>
      </c>
      <c r="D16" s="11">
        <v>2.2000000000000002</v>
      </c>
      <c r="E16" s="44">
        <f>VLOOKUP(B16,'Costo de Materiales'!B$4:D$350,3,FALSE)</f>
        <v>1.9104956105198412E-2</v>
      </c>
      <c r="F16" s="206">
        <f t="shared" si="1"/>
        <v>4.2030903431436506E-2</v>
      </c>
      <c r="G16" s="302"/>
      <c r="H16" s="83"/>
      <c r="I16" s="53"/>
      <c r="J16" s="53"/>
      <c r="K16" s="58"/>
    </row>
    <row r="17" spans="1:12" s="3" customFormat="1" x14ac:dyDescent="0.2">
      <c r="A17" s="205"/>
      <c r="B17" s="12" t="s">
        <v>567</v>
      </c>
      <c r="C17" s="11" t="s">
        <v>568</v>
      </c>
      <c r="D17" s="11">
        <f>2*1.6</f>
        <v>3.2</v>
      </c>
      <c r="E17" s="44">
        <f>VLOOKUP(B17,'Costo de Materiales'!B$4:D$350,3,FALSE)</f>
        <v>5.1257199306629884E-2</v>
      </c>
      <c r="F17" s="206">
        <f t="shared" si="1"/>
        <v>0.16402303778121563</v>
      </c>
      <c r="G17" s="302"/>
      <c r="H17" s="83"/>
      <c r="I17" s="53"/>
      <c r="J17" s="53"/>
      <c r="K17" s="58"/>
      <c r="L17" s="107"/>
    </row>
    <row r="18" spans="1:12" s="3" customFormat="1" ht="12" customHeight="1" x14ac:dyDescent="0.2">
      <c r="A18" s="205"/>
      <c r="B18" s="12" t="s">
        <v>111</v>
      </c>
      <c r="C18" s="11" t="s">
        <v>11</v>
      </c>
      <c r="D18" s="11">
        <v>0.1</v>
      </c>
      <c r="E18" s="44">
        <f>SUM(F13:F17)</f>
        <v>0.80060002685134124</v>
      </c>
      <c r="F18" s="206">
        <f t="shared" si="1"/>
        <v>8.0060002685134135E-2</v>
      </c>
      <c r="G18" s="302"/>
      <c r="H18" s="83"/>
      <c r="I18" s="53"/>
      <c r="J18" s="53"/>
      <c r="K18" s="58"/>
    </row>
    <row r="19" spans="1:12" s="3" customFormat="1" ht="12" customHeight="1" x14ac:dyDescent="0.2">
      <c r="A19" s="205"/>
      <c r="B19" s="12" t="s">
        <v>96</v>
      </c>
      <c r="C19" s="11" t="s">
        <v>33</v>
      </c>
      <c r="D19" s="11">
        <v>0.13</v>
      </c>
      <c r="E19" s="44">
        <f>VLOOKUP(B19,'Costo de Materiales'!B$4:D$350,3,FALSE)</f>
        <v>0.92983256953090243</v>
      </c>
      <c r="F19" s="206">
        <f t="shared" si="1"/>
        <v>0.12087823403901732</v>
      </c>
      <c r="G19" s="302"/>
      <c r="H19" s="83"/>
      <c r="I19" s="56">
        <v>1.5</v>
      </c>
      <c r="J19" s="56" t="s">
        <v>538</v>
      </c>
      <c r="K19" s="60">
        <f>I19/8</f>
        <v>0.1875</v>
      </c>
    </row>
    <row r="20" spans="1:12" s="3" customFormat="1" ht="12" customHeight="1" x14ac:dyDescent="0.2">
      <c r="A20" s="205"/>
      <c r="B20" s="12" t="s">
        <v>10</v>
      </c>
      <c r="C20" s="11" t="s">
        <v>33</v>
      </c>
      <c r="D20" s="11">
        <v>0.08</v>
      </c>
      <c r="E20" s="44">
        <f>VLOOKUP(B20,'Costo de Materiales'!B$4:D$350,3,FALSE)</f>
        <v>0.35088021491732146</v>
      </c>
      <c r="F20" s="206">
        <f t="shared" si="1"/>
        <v>2.8070417193385717E-2</v>
      </c>
      <c r="G20" s="302"/>
      <c r="H20" s="83"/>
      <c r="I20" s="56">
        <v>0.75</v>
      </c>
      <c r="J20" s="56" t="s">
        <v>538</v>
      </c>
      <c r="K20" s="60">
        <f>I20/8</f>
        <v>9.375E-2</v>
      </c>
    </row>
    <row r="21" spans="1:12" s="3" customFormat="1" ht="12" customHeight="1" x14ac:dyDescent="0.2">
      <c r="A21" s="207"/>
      <c r="B21" s="26" t="s">
        <v>109</v>
      </c>
      <c r="C21" s="23" t="s">
        <v>11</v>
      </c>
      <c r="D21" s="103">
        <f>VLOOKUP(B21,'Costo de Materiales'!B$4:D$350,3,FALSE)</f>
        <v>0.28999999999999998</v>
      </c>
      <c r="E21" s="45">
        <f>SUM(F19:F20)</f>
        <v>0.14894865123240303</v>
      </c>
      <c r="F21" s="208">
        <f t="shared" si="1"/>
        <v>4.3195108857396879E-2</v>
      </c>
      <c r="G21" s="302"/>
      <c r="H21" s="83"/>
      <c r="I21" s="53"/>
      <c r="J21" s="53"/>
      <c r="K21" s="58"/>
    </row>
    <row r="22" spans="1:12" ht="12" customHeight="1" x14ac:dyDescent="0.2">
      <c r="A22" s="209">
        <v>3</v>
      </c>
      <c r="B22" s="88" t="s">
        <v>526</v>
      </c>
      <c r="C22" s="91" t="s">
        <v>38</v>
      </c>
      <c r="D22" s="91"/>
      <c r="E22" s="92"/>
      <c r="F22" s="210">
        <f>SUM(F23:F31)</f>
        <v>0.98284740484313993</v>
      </c>
      <c r="G22" s="304"/>
      <c r="H22" s="145"/>
      <c r="I22" s="53"/>
      <c r="J22" s="53"/>
    </row>
    <row r="23" spans="1:12" s="3" customFormat="1" ht="12" customHeight="1" x14ac:dyDescent="0.2">
      <c r="A23" s="205"/>
      <c r="B23" s="12" t="s">
        <v>8</v>
      </c>
      <c r="C23" s="11" t="s">
        <v>19</v>
      </c>
      <c r="D23" s="11">
        <v>0.18</v>
      </c>
      <c r="E23" s="44">
        <f>VLOOKUP(B23,'Costo de Materiales'!B$4:D$350,3,FALSE)</f>
        <v>0.15330562338073847</v>
      </c>
      <c r="F23" s="206">
        <f>D23*E23</f>
        <v>2.7595012208532922E-2</v>
      </c>
      <c r="G23" s="305"/>
      <c r="H23" s="145"/>
      <c r="I23" s="53"/>
      <c r="J23" s="53"/>
      <c r="K23" s="58"/>
    </row>
    <row r="24" spans="1:12" s="3" customFormat="1" ht="12" customHeight="1" x14ac:dyDescent="0.2">
      <c r="A24" s="205"/>
      <c r="B24" s="12" t="s">
        <v>9</v>
      </c>
      <c r="C24" s="11" t="s">
        <v>6</v>
      </c>
      <c r="D24" s="11">
        <v>4.2999999999999997E-2</v>
      </c>
      <c r="E24" s="44">
        <f>VLOOKUP(B24,'Costo de Materiales'!B$4:D$350,3,FALSE)</f>
        <v>0.31100746322217132</v>
      </c>
      <c r="F24" s="206">
        <f t="shared" ref="F24:F31" si="2">D24*E24</f>
        <v>1.3373320918553366E-2</v>
      </c>
      <c r="G24" s="305"/>
      <c r="H24" s="145"/>
      <c r="I24" s="53"/>
      <c r="J24" s="53"/>
      <c r="K24" s="58"/>
    </row>
    <row r="25" spans="1:12" s="3" customFormat="1" ht="12" customHeight="1" x14ac:dyDescent="0.2">
      <c r="A25" s="205"/>
      <c r="B25" s="12" t="s">
        <v>525</v>
      </c>
      <c r="C25" s="11" t="s">
        <v>17</v>
      </c>
      <c r="D25" s="11">
        <v>13.5</v>
      </c>
      <c r="E25" s="44">
        <f>VLOOKUP(B25,'Costo de Materiales'!B$4:D$350,3,FALSE)</f>
        <v>3.4948090436338557E-2</v>
      </c>
      <c r="F25" s="206">
        <f t="shared" si="2"/>
        <v>0.47179922089057053</v>
      </c>
      <c r="G25" s="305"/>
      <c r="H25" s="145"/>
      <c r="I25" s="53"/>
      <c r="J25" s="53"/>
      <c r="K25" s="58"/>
    </row>
    <row r="26" spans="1:12" s="3" customFormat="1" ht="12" customHeight="1" x14ac:dyDescent="0.2">
      <c r="A26" s="205"/>
      <c r="B26" s="10" t="s">
        <v>527</v>
      </c>
      <c r="C26" s="11" t="s">
        <v>568</v>
      </c>
      <c r="D26" s="11">
        <v>2.2000000000000002</v>
      </c>
      <c r="E26" s="44">
        <f>VLOOKUP(B26,'Costo de Materiales'!B$4:D$350,3,FALSE)</f>
        <v>1.9104956105198412E-2</v>
      </c>
      <c r="F26" s="206">
        <f t="shared" si="2"/>
        <v>4.2030903431436506E-2</v>
      </c>
      <c r="G26" s="305"/>
      <c r="H26" s="145"/>
      <c r="I26" s="53"/>
      <c r="J26" s="53"/>
      <c r="K26" s="58"/>
    </row>
    <row r="27" spans="1:12" s="3" customFormat="1" ht="12" customHeight="1" x14ac:dyDescent="0.2">
      <c r="A27" s="205"/>
      <c r="B27" s="12" t="s">
        <v>567</v>
      </c>
      <c r="C27" s="11" t="s">
        <v>568</v>
      </c>
      <c r="D27" s="11">
        <f>2*1.6</f>
        <v>3.2</v>
      </c>
      <c r="E27" s="44">
        <f>VLOOKUP(B27,'Costo de Materiales'!B$4:D$350,3,FALSE)</f>
        <v>5.1257199306629884E-2</v>
      </c>
      <c r="F27" s="206">
        <f t="shared" si="2"/>
        <v>0.16402303778121563</v>
      </c>
      <c r="G27" s="305"/>
      <c r="H27" s="145"/>
      <c r="I27" s="53"/>
      <c r="J27" s="53"/>
      <c r="K27" s="58"/>
      <c r="L27" s="107"/>
    </row>
    <row r="28" spans="1:12" s="3" customFormat="1" ht="12" customHeight="1" x14ac:dyDescent="0.2">
      <c r="A28" s="205"/>
      <c r="B28" s="12" t="s">
        <v>111</v>
      </c>
      <c r="C28" s="11" t="s">
        <v>11</v>
      </c>
      <c r="D28" s="11">
        <v>0.1</v>
      </c>
      <c r="E28" s="44">
        <f>SUM(F23:F27)</f>
        <v>0.71882149523030903</v>
      </c>
      <c r="F28" s="206">
        <f t="shared" si="2"/>
        <v>7.1882149523030903E-2</v>
      </c>
      <c r="G28" s="305"/>
      <c r="H28" s="145"/>
      <c r="I28" s="53"/>
      <c r="J28" s="53"/>
      <c r="K28" s="58"/>
    </row>
    <row r="29" spans="1:12" s="3" customFormat="1" ht="12" customHeight="1" x14ac:dyDescent="0.2">
      <c r="A29" s="205"/>
      <c r="B29" s="12" t="s">
        <v>96</v>
      </c>
      <c r="C29" s="11" t="s">
        <v>33</v>
      </c>
      <c r="D29" s="11">
        <v>0.13</v>
      </c>
      <c r="E29" s="44">
        <f>VLOOKUP(B29,'Costo de Materiales'!B$4:D$350,3,FALSE)</f>
        <v>0.92983256953090243</v>
      </c>
      <c r="F29" s="206">
        <f t="shared" si="2"/>
        <v>0.12087823403901732</v>
      </c>
      <c r="G29" s="305"/>
      <c r="H29" s="145"/>
      <c r="I29" s="56">
        <v>0.48</v>
      </c>
      <c r="J29" s="56" t="s">
        <v>538</v>
      </c>
      <c r="K29" s="60">
        <f>I29/8</f>
        <v>0.06</v>
      </c>
    </row>
    <row r="30" spans="1:12" s="3" customFormat="1" ht="12" customHeight="1" x14ac:dyDescent="0.2">
      <c r="A30" s="205"/>
      <c r="B30" s="12" t="s">
        <v>10</v>
      </c>
      <c r="C30" s="11" t="s">
        <v>33</v>
      </c>
      <c r="D30" s="11">
        <v>0.08</v>
      </c>
      <c r="E30" s="44">
        <f>VLOOKUP(B30,'Costo de Materiales'!B$4:D$350,3,FALSE)</f>
        <v>0.35088021491732146</v>
      </c>
      <c r="F30" s="206">
        <f t="shared" si="2"/>
        <v>2.8070417193385717E-2</v>
      </c>
      <c r="G30" s="305"/>
      <c r="H30" s="145"/>
      <c r="I30" s="56">
        <v>0.24</v>
      </c>
      <c r="J30" s="56" t="s">
        <v>538</v>
      </c>
      <c r="K30" s="60">
        <f>I30/8</f>
        <v>0.03</v>
      </c>
    </row>
    <row r="31" spans="1:12" s="3" customFormat="1" ht="12" customHeight="1" x14ac:dyDescent="0.2">
      <c r="A31" s="207"/>
      <c r="B31" s="26" t="s">
        <v>109</v>
      </c>
      <c r="C31" s="23" t="s">
        <v>11</v>
      </c>
      <c r="D31" s="103">
        <f>VLOOKUP(B31,'Costo de Materiales'!B$4:D$350,3,FALSE)</f>
        <v>0.28999999999999998</v>
      </c>
      <c r="E31" s="45">
        <f>SUM(F29:F30)</f>
        <v>0.14894865123240303</v>
      </c>
      <c r="F31" s="208">
        <f t="shared" si="2"/>
        <v>4.3195108857396879E-2</v>
      </c>
      <c r="G31" s="305"/>
      <c r="H31" s="145"/>
      <c r="I31" s="53"/>
      <c r="J31" s="53"/>
      <c r="K31" s="58"/>
    </row>
    <row r="32" spans="1:12" ht="12" customHeight="1" x14ac:dyDescent="0.2">
      <c r="A32" s="209">
        <v>4</v>
      </c>
      <c r="B32" s="88" t="s">
        <v>528</v>
      </c>
      <c r="C32" s="91" t="s">
        <v>38</v>
      </c>
      <c r="D32" s="91"/>
      <c r="E32" s="92"/>
      <c r="F32" s="210">
        <f>SUM(F33:F41)</f>
        <v>0.98002947808472707</v>
      </c>
      <c r="G32" s="304"/>
      <c r="H32" s="145"/>
      <c r="I32" s="53"/>
      <c r="J32" s="53"/>
    </row>
    <row r="33" spans="1:12" s="3" customFormat="1" ht="12" customHeight="1" x14ac:dyDescent="0.2">
      <c r="A33" s="205"/>
      <c r="B33" s="12" t="s">
        <v>8</v>
      </c>
      <c r="C33" s="11" t="s">
        <v>19</v>
      </c>
      <c r="D33" s="11">
        <v>0.26500000000000001</v>
      </c>
      <c r="E33" s="44">
        <f>VLOOKUP(B33,'Costo de Materiales'!B$4:D$350,3,FALSE)</f>
        <v>0.15330562338073847</v>
      </c>
      <c r="F33" s="206">
        <f>D33*E33</f>
        <v>4.0625990195895696E-2</v>
      </c>
      <c r="G33" s="305"/>
      <c r="H33" s="145"/>
      <c r="I33" s="53"/>
      <c r="J33" s="53"/>
      <c r="K33" s="58"/>
    </row>
    <row r="34" spans="1:12" s="3" customFormat="1" ht="12" customHeight="1" x14ac:dyDescent="0.2">
      <c r="A34" s="205"/>
      <c r="B34" s="12" t="s">
        <v>9</v>
      </c>
      <c r="C34" s="11" t="s">
        <v>6</v>
      </c>
      <c r="D34" s="11">
        <v>4.2999999999999997E-2</v>
      </c>
      <c r="E34" s="44">
        <f>VLOOKUP(B34,'Costo de Materiales'!B$4:D$350,3,FALSE)</f>
        <v>0.31100746322217132</v>
      </c>
      <c r="F34" s="206">
        <f t="shared" ref="F34:F41" si="3">D34*E34</f>
        <v>1.3373320918553366E-2</v>
      </c>
      <c r="G34" s="305"/>
      <c r="H34" s="145"/>
      <c r="I34" s="53"/>
      <c r="J34" s="53"/>
      <c r="K34" s="58"/>
    </row>
    <row r="35" spans="1:12" s="3" customFormat="1" ht="12" customHeight="1" x14ac:dyDescent="0.2">
      <c r="A35" s="205"/>
      <c r="B35" s="10" t="s">
        <v>631</v>
      </c>
      <c r="C35" s="11" t="s">
        <v>17</v>
      </c>
      <c r="D35" s="11">
        <v>39</v>
      </c>
      <c r="E35" s="44">
        <f>VLOOKUP(B35,'Costo de Materiales'!B$4:D$350,3,FALSE)</f>
        <v>1.1649363478779519E-2</v>
      </c>
      <c r="F35" s="206">
        <f t="shared" si="3"/>
        <v>0.45432517567240122</v>
      </c>
      <c r="G35" s="305"/>
      <c r="H35" s="145"/>
      <c r="I35" s="53"/>
      <c r="J35" s="53"/>
      <c r="K35" s="58"/>
    </row>
    <row r="36" spans="1:12" s="3" customFormat="1" ht="12" customHeight="1" x14ac:dyDescent="0.2">
      <c r="A36" s="205"/>
      <c r="B36" s="10" t="s">
        <v>527</v>
      </c>
      <c r="C36" s="11" t="s">
        <v>568</v>
      </c>
      <c r="D36" s="11">
        <v>3.3</v>
      </c>
      <c r="E36" s="44">
        <f>VLOOKUP(B36,'Costo de Materiales'!B$4:D$350,3,FALSE)</f>
        <v>1.9104956105198412E-2</v>
      </c>
      <c r="F36" s="206">
        <f t="shared" si="3"/>
        <v>6.3046355147154759E-2</v>
      </c>
      <c r="G36" s="305"/>
      <c r="H36" s="145"/>
      <c r="I36" s="53"/>
      <c r="J36" s="53"/>
      <c r="K36" s="58"/>
    </row>
    <row r="37" spans="1:12" s="3" customFormat="1" ht="12" customHeight="1" x14ac:dyDescent="0.2">
      <c r="A37" s="205"/>
      <c r="B37" s="12" t="s">
        <v>567</v>
      </c>
      <c r="C37" s="11" t="s">
        <v>568</v>
      </c>
      <c r="D37" s="11">
        <f>2*1.6</f>
        <v>3.2</v>
      </c>
      <c r="E37" s="44">
        <f>VLOOKUP(B37,'Costo de Materiales'!B$4:D$350,3,FALSE)</f>
        <v>5.1257199306629884E-2</v>
      </c>
      <c r="F37" s="206">
        <f t="shared" si="3"/>
        <v>0.16402303778121563</v>
      </c>
      <c r="G37" s="305"/>
      <c r="H37" s="145"/>
      <c r="I37" s="53"/>
      <c r="J37" s="53"/>
      <c r="K37" s="58"/>
      <c r="L37" s="107"/>
    </row>
    <row r="38" spans="1:12" s="3" customFormat="1" ht="12" customHeight="1" x14ac:dyDescent="0.2">
      <c r="A38" s="205"/>
      <c r="B38" s="12" t="s">
        <v>111</v>
      </c>
      <c r="C38" s="11" t="s">
        <v>11</v>
      </c>
      <c r="D38" s="11">
        <v>0.1</v>
      </c>
      <c r="E38" s="44">
        <f>SUM(F33:F37)</f>
        <v>0.73539387971522063</v>
      </c>
      <c r="F38" s="206">
        <f t="shared" si="3"/>
        <v>7.3539387971522069E-2</v>
      </c>
      <c r="G38" s="305"/>
      <c r="H38" s="145"/>
      <c r="I38" s="53"/>
      <c r="J38" s="53"/>
      <c r="K38" s="58"/>
    </row>
    <row r="39" spans="1:12" s="3" customFormat="1" ht="12" customHeight="1" x14ac:dyDescent="0.2">
      <c r="A39" s="205"/>
      <c r="B39" s="12" t="s">
        <v>96</v>
      </c>
      <c r="C39" s="11" t="s">
        <v>33</v>
      </c>
      <c r="D39" s="11">
        <v>0.12</v>
      </c>
      <c r="E39" s="44">
        <f>VLOOKUP(B39,'Costo de Materiales'!B$4:D$350,3,FALSE)</f>
        <v>0.92983256953090243</v>
      </c>
      <c r="F39" s="206">
        <f t="shared" si="3"/>
        <v>0.11157990834370829</v>
      </c>
      <c r="G39" s="305"/>
      <c r="H39" s="145"/>
      <c r="I39" s="53">
        <f>4.6/7</f>
        <v>0.65714285714285714</v>
      </c>
      <c r="J39" s="53" t="s">
        <v>538</v>
      </c>
      <c r="K39" s="60">
        <f>I39/8</f>
        <v>8.2142857142857142E-2</v>
      </c>
    </row>
    <row r="40" spans="1:12" s="3" customFormat="1" ht="12" customHeight="1" x14ac:dyDescent="0.2">
      <c r="A40" s="205"/>
      <c r="B40" s="12" t="s">
        <v>10</v>
      </c>
      <c r="C40" s="11" t="s">
        <v>33</v>
      </c>
      <c r="D40" s="11">
        <v>0.06</v>
      </c>
      <c r="E40" s="44">
        <f>VLOOKUP(B40,'Costo de Materiales'!B$4:D$350,3,FALSE)</f>
        <v>0.35088021491732146</v>
      </c>
      <c r="F40" s="206">
        <f t="shared" si="3"/>
        <v>2.1052812895039286E-2</v>
      </c>
      <c r="G40" s="305"/>
      <c r="H40" s="145"/>
      <c r="I40" s="53">
        <f>2.3/7</f>
        <v>0.32857142857142857</v>
      </c>
      <c r="J40" s="53" t="s">
        <v>538</v>
      </c>
      <c r="K40" s="60">
        <f>I40/8</f>
        <v>4.1071428571428571E-2</v>
      </c>
    </row>
    <row r="41" spans="1:12" s="3" customFormat="1" ht="12" customHeight="1" x14ac:dyDescent="0.2">
      <c r="A41" s="207"/>
      <c r="B41" s="26" t="s">
        <v>109</v>
      </c>
      <c r="C41" s="23" t="s">
        <v>11</v>
      </c>
      <c r="D41" s="103">
        <f>VLOOKUP(B41,'Costo de Materiales'!B$4:D$350,3,FALSE)</f>
        <v>0.28999999999999998</v>
      </c>
      <c r="E41" s="45">
        <f>SUM(F39:F40)</f>
        <v>0.13263272123874759</v>
      </c>
      <c r="F41" s="208">
        <f t="shared" si="3"/>
        <v>3.8463489159236794E-2</v>
      </c>
      <c r="G41" s="305"/>
      <c r="H41" s="145"/>
      <c r="I41" s="53"/>
      <c r="J41" s="53"/>
      <c r="K41" s="58"/>
    </row>
    <row r="42" spans="1:12" ht="12" customHeight="1" x14ac:dyDescent="0.2">
      <c r="A42" s="209">
        <v>5</v>
      </c>
      <c r="B42" s="88" t="s">
        <v>529</v>
      </c>
      <c r="C42" s="91" t="s">
        <v>38</v>
      </c>
      <c r="D42" s="91"/>
      <c r="E42" s="92"/>
      <c r="F42" s="210">
        <f>SUM(F43:F51)</f>
        <v>1.0260840716617339</v>
      </c>
      <c r="G42" s="304"/>
      <c r="H42" s="145"/>
      <c r="I42" s="53"/>
      <c r="J42" s="53"/>
    </row>
    <row r="43" spans="1:12" s="3" customFormat="1" ht="12" customHeight="1" x14ac:dyDescent="0.2">
      <c r="A43" s="205"/>
      <c r="B43" s="12" t="s">
        <v>8</v>
      </c>
      <c r="C43" s="11" t="s">
        <v>19</v>
      </c>
      <c r="D43" s="11">
        <v>0.26500000000000001</v>
      </c>
      <c r="E43" s="44">
        <f>VLOOKUP(B43,'Costo de Materiales'!B$4:D$350,3,FALSE)</f>
        <v>0.15330562338073847</v>
      </c>
      <c r="F43" s="206">
        <f>D43*E43</f>
        <v>4.0625990195895696E-2</v>
      </c>
      <c r="G43" s="305"/>
      <c r="H43" s="145"/>
      <c r="I43" s="53"/>
      <c r="J43" s="53"/>
      <c r="K43" s="58"/>
    </row>
    <row r="44" spans="1:12" s="3" customFormat="1" ht="12" customHeight="1" x14ac:dyDescent="0.2">
      <c r="A44" s="205"/>
      <c r="B44" s="12" t="s">
        <v>9</v>
      </c>
      <c r="C44" s="11" t="s">
        <v>6</v>
      </c>
      <c r="D44" s="11">
        <v>4.2999999999999997E-2</v>
      </c>
      <c r="E44" s="44">
        <f>VLOOKUP(B44,'Costo de Materiales'!B$4:D$350,3,FALSE)</f>
        <v>0.31100746322217132</v>
      </c>
      <c r="F44" s="206">
        <f t="shared" ref="F44:F51" si="4">D44*E44</f>
        <v>1.3373320918553366E-2</v>
      </c>
      <c r="G44" s="305"/>
      <c r="H44" s="145"/>
      <c r="I44" s="53"/>
      <c r="J44" s="53"/>
      <c r="K44" s="58"/>
    </row>
    <row r="45" spans="1:12" s="3" customFormat="1" ht="12" customHeight="1" x14ac:dyDescent="0.2">
      <c r="A45" s="205"/>
      <c r="B45" s="10" t="s">
        <v>630</v>
      </c>
      <c r="C45" s="11" t="s">
        <v>17</v>
      </c>
      <c r="D45" s="11">
        <v>31</v>
      </c>
      <c r="E45" s="44">
        <f>VLOOKUP(B45,'Costo de Materiales'!B$4:D$350,3,FALSE)</f>
        <v>1.6006225419843059E-2</v>
      </c>
      <c r="F45" s="206">
        <f t="shared" si="4"/>
        <v>0.49619298801513484</v>
      </c>
      <c r="G45" s="305"/>
      <c r="H45" s="145"/>
      <c r="I45" s="53"/>
      <c r="J45" s="53"/>
      <c r="K45" s="58"/>
    </row>
    <row r="46" spans="1:12" s="3" customFormat="1" ht="12" customHeight="1" x14ac:dyDescent="0.2">
      <c r="A46" s="205"/>
      <c r="B46" s="10" t="s">
        <v>527</v>
      </c>
      <c r="C46" s="11" t="s">
        <v>568</v>
      </c>
      <c r="D46" s="11">
        <v>3.3</v>
      </c>
      <c r="E46" s="44">
        <f>VLOOKUP(B46,'Costo de Materiales'!B$4:D$350,3,FALSE)</f>
        <v>1.9104956105198412E-2</v>
      </c>
      <c r="F46" s="206">
        <f t="shared" si="4"/>
        <v>6.3046355147154759E-2</v>
      </c>
      <c r="G46" s="305"/>
      <c r="H46" s="145"/>
      <c r="I46" s="53"/>
      <c r="J46" s="53"/>
      <c r="K46" s="58"/>
    </row>
    <row r="47" spans="1:12" s="3" customFormat="1" ht="12" customHeight="1" x14ac:dyDescent="0.2">
      <c r="A47" s="205"/>
      <c r="B47" s="12" t="s">
        <v>567</v>
      </c>
      <c r="C47" s="11" t="s">
        <v>568</v>
      </c>
      <c r="D47" s="11">
        <f>2*1.6</f>
        <v>3.2</v>
      </c>
      <c r="E47" s="44">
        <f>VLOOKUP(B47,'Costo de Materiales'!B$4:D$350,3,FALSE)</f>
        <v>5.1257199306629884E-2</v>
      </c>
      <c r="F47" s="206">
        <f t="shared" si="4"/>
        <v>0.16402303778121563</v>
      </c>
      <c r="G47" s="305"/>
      <c r="H47" s="145"/>
      <c r="I47" s="53"/>
      <c r="J47" s="53"/>
      <c r="K47" s="58"/>
      <c r="L47" s="107"/>
    </row>
    <row r="48" spans="1:12" s="3" customFormat="1" ht="12" customHeight="1" x14ac:dyDescent="0.2">
      <c r="A48" s="205"/>
      <c r="B48" s="12" t="s">
        <v>111</v>
      </c>
      <c r="C48" s="11" t="s">
        <v>11</v>
      </c>
      <c r="D48" s="11">
        <v>0.1</v>
      </c>
      <c r="E48" s="44">
        <f>SUM(F43:F47)</f>
        <v>0.77726169205795426</v>
      </c>
      <c r="F48" s="206">
        <f t="shared" si="4"/>
        <v>7.7726169205795434E-2</v>
      </c>
      <c r="G48" s="305"/>
      <c r="H48" s="145"/>
      <c r="I48" s="53"/>
      <c r="J48" s="53"/>
      <c r="K48" s="58"/>
    </row>
    <row r="49" spans="1:12" s="3" customFormat="1" ht="12" customHeight="1" x14ac:dyDescent="0.2">
      <c r="A49" s="205"/>
      <c r="B49" s="12" t="s">
        <v>96</v>
      </c>
      <c r="C49" s="11" t="s">
        <v>33</v>
      </c>
      <c r="D49" s="11">
        <v>0.12</v>
      </c>
      <c r="E49" s="44">
        <f>VLOOKUP(B49,'Costo de Materiales'!B$4:D$350,3,FALSE)</f>
        <v>0.92983256953090243</v>
      </c>
      <c r="F49" s="206">
        <f t="shared" si="4"/>
        <v>0.11157990834370829</v>
      </c>
      <c r="G49" s="305"/>
      <c r="H49" s="145"/>
      <c r="I49" s="53">
        <f>3.83/7</f>
        <v>0.54714285714285715</v>
      </c>
      <c r="J49" s="53" t="s">
        <v>538</v>
      </c>
      <c r="K49" s="60">
        <f>I49/8</f>
        <v>6.8392857142857144E-2</v>
      </c>
    </row>
    <row r="50" spans="1:12" s="3" customFormat="1" ht="12" customHeight="1" x14ac:dyDescent="0.2">
      <c r="A50" s="205"/>
      <c r="B50" s="12" t="s">
        <v>10</v>
      </c>
      <c r="C50" s="11" t="s">
        <v>33</v>
      </c>
      <c r="D50" s="11">
        <v>0.06</v>
      </c>
      <c r="E50" s="44">
        <f>VLOOKUP(B50,'Costo de Materiales'!B$4:D$350,3,FALSE)</f>
        <v>0.35088021491732146</v>
      </c>
      <c r="F50" s="206">
        <f t="shared" si="4"/>
        <v>2.1052812895039286E-2</v>
      </c>
      <c r="G50" s="305"/>
      <c r="H50" s="145"/>
      <c r="I50" s="53">
        <f>1.92/7</f>
        <v>0.2742857142857143</v>
      </c>
      <c r="J50" s="53" t="s">
        <v>538</v>
      </c>
      <c r="K50" s="60">
        <f>I50/8</f>
        <v>3.4285714285714287E-2</v>
      </c>
    </row>
    <row r="51" spans="1:12" s="3" customFormat="1" ht="12" customHeight="1" x14ac:dyDescent="0.2">
      <c r="A51" s="207"/>
      <c r="B51" s="26" t="s">
        <v>109</v>
      </c>
      <c r="C51" s="23" t="s">
        <v>11</v>
      </c>
      <c r="D51" s="103">
        <f>VLOOKUP(B51,'Costo de Materiales'!B$4:D$350,3,FALSE)</f>
        <v>0.28999999999999998</v>
      </c>
      <c r="E51" s="45">
        <f>SUM(F49:F50)</f>
        <v>0.13263272123874759</v>
      </c>
      <c r="F51" s="208">
        <f t="shared" si="4"/>
        <v>3.8463489159236794E-2</v>
      </c>
      <c r="G51" s="305"/>
      <c r="H51" s="145"/>
      <c r="I51" s="53"/>
      <c r="J51" s="53"/>
      <c r="K51" s="58"/>
    </row>
    <row r="52" spans="1:12" ht="12" customHeight="1" x14ac:dyDescent="0.2">
      <c r="A52" s="209">
        <v>6</v>
      </c>
      <c r="B52" s="88" t="s">
        <v>530</v>
      </c>
      <c r="C52" s="91" t="s">
        <v>38</v>
      </c>
      <c r="D52" s="91"/>
      <c r="E52" s="92"/>
      <c r="F52" s="210">
        <f>SUM(F53:F61)</f>
        <v>1.0819800475056141</v>
      </c>
      <c r="G52" s="304"/>
      <c r="H52" s="145"/>
      <c r="I52" s="53"/>
      <c r="J52" s="53"/>
    </row>
    <row r="53" spans="1:12" s="3" customFormat="1" ht="12" customHeight="1" x14ac:dyDescent="0.2">
      <c r="A53" s="205"/>
      <c r="B53" s="12" t="s">
        <v>8</v>
      </c>
      <c r="C53" s="11" t="s">
        <v>19</v>
      </c>
      <c r="D53" s="11">
        <v>0.26500000000000001</v>
      </c>
      <c r="E53" s="44">
        <f>VLOOKUP(B53,'Costo de Materiales'!B$4:D$350,3,FALSE)</f>
        <v>0.15330562338073847</v>
      </c>
      <c r="F53" s="206">
        <f>D53*E53</f>
        <v>4.0625990195895696E-2</v>
      </c>
      <c r="G53" s="305"/>
      <c r="H53" s="145"/>
      <c r="I53" s="53"/>
      <c r="J53" s="53"/>
      <c r="K53" s="58"/>
    </row>
    <row r="54" spans="1:12" s="3" customFormat="1" ht="12" customHeight="1" x14ac:dyDescent="0.2">
      <c r="A54" s="205"/>
      <c r="B54" s="12" t="s">
        <v>9</v>
      </c>
      <c r="C54" s="11" t="s">
        <v>6</v>
      </c>
      <c r="D54" s="11">
        <v>4.2999999999999997E-2</v>
      </c>
      <c r="E54" s="44">
        <f>VLOOKUP(B54,'Costo de Materiales'!B$4:D$350,3,FALSE)</f>
        <v>0.31100746322217132</v>
      </c>
      <c r="F54" s="206">
        <f t="shared" ref="F54:F61" si="5">D54*E54</f>
        <v>1.3373320918553366E-2</v>
      </c>
      <c r="G54" s="305"/>
      <c r="H54" s="145"/>
      <c r="I54" s="53"/>
      <c r="J54" s="53"/>
      <c r="K54" s="58"/>
    </row>
    <row r="55" spans="1:12" s="3" customFormat="1" ht="12" customHeight="1" x14ac:dyDescent="0.2">
      <c r="A55" s="205"/>
      <c r="B55" s="10" t="s">
        <v>632</v>
      </c>
      <c r="C55" s="11" t="s">
        <v>17</v>
      </c>
      <c r="D55" s="11">
        <v>26</v>
      </c>
      <c r="E55" s="44">
        <f>VLOOKUP(B55,'Costo de Materiales'!B$4:D$350,3,FALSE)</f>
        <v>2.1038750442675811E-2</v>
      </c>
      <c r="F55" s="206">
        <f t="shared" si="5"/>
        <v>0.54700751150957105</v>
      </c>
      <c r="G55" s="305"/>
      <c r="H55" s="145"/>
      <c r="I55" s="53"/>
      <c r="J55" s="53"/>
      <c r="K55" s="58"/>
    </row>
    <row r="56" spans="1:12" s="3" customFormat="1" ht="12" customHeight="1" x14ac:dyDescent="0.2">
      <c r="A56" s="205"/>
      <c r="B56" s="10" t="s">
        <v>527</v>
      </c>
      <c r="C56" s="11" t="s">
        <v>568</v>
      </c>
      <c r="D56" s="11">
        <v>3.3</v>
      </c>
      <c r="E56" s="44">
        <f>VLOOKUP(B56,'Costo de Materiales'!B$4:D$350,3,FALSE)</f>
        <v>1.9104956105198412E-2</v>
      </c>
      <c r="F56" s="206">
        <f t="shared" si="5"/>
        <v>6.3046355147154759E-2</v>
      </c>
      <c r="G56" s="305"/>
      <c r="H56" s="145"/>
      <c r="I56" s="53"/>
      <c r="J56" s="53"/>
      <c r="K56" s="58"/>
    </row>
    <row r="57" spans="1:12" s="3" customFormat="1" ht="12" customHeight="1" x14ac:dyDescent="0.2">
      <c r="A57" s="205"/>
      <c r="B57" s="12" t="s">
        <v>567</v>
      </c>
      <c r="C57" s="11" t="s">
        <v>568</v>
      </c>
      <c r="D57" s="11">
        <f>2*1.6</f>
        <v>3.2</v>
      </c>
      <c r="E57" s="44">
        <f>VLOOKUP(B57,'Costo de Materiales'!B$4:D$350,3,FALSE)</f>
        <v>5.1257199306629884E-2</v>
      </c>
      <c r="F57" s="206">
        <f t="shared" si="5"/>
        <v>0.16402303778121563</v>
      </c>
      <c r="G57" s="305"/>
      <c r="H57" s="145"/>
      <c r="I57" s="53"/>
      <c r="J57" s="53"/>
      <c r="K57" s="58"/>
      <c r="L57" s="107"/>
    </row>
    <row r="58" spans="1:12" s="3" customFormat="1" ht="12" customHeight="1" x14ac:dyDescent="0.2">
      <c r="A58" s="205"/>
      <c r="B58" s="12" t="s">
        <v>111</v>
      </c>
      <c r="C58" s="11" t="s">
        <v>11</v>
      </c>
      <c r="D58" s="11">
        <v>0.1</v>
      </c>
      <c r="E58" s="44">
        <f>SUM(F53:F57)</f>
        <v>0.82807621555239053</v>
      </c>
      <c r="F58" s="206">
        <f t="shared" si="5"/>
        <v>8.2807621555239061E-2</v>
      </c>
      <c r="G58" s="305"/>
      <c r="H58" s="145"/>
      <c r="I58" s="53"/>
      <c r="J58" s="53"/>
      <c r="K58" s="58"/>
    </row>
    <row r="59" spans="1:12" s="3" customFormat="1" ht="12" customHeight="1" x14ac:dyDescent="0.2">
      <c r="A59" s="205"/>
      <c r="B59" s="12" t="s">
        <v>96</v>
      </c>
      <c r="C59" s="11" t="s">
        <v>33</v>
      </c>
      <c r="D59" s="11">
        <v>0.12</v>
      </c>
      <c r="E59" s="44">
        <f>VLOOKUP(B59,'Costo de Materiales'!B$4:D$350,3,FALSE)</f>
        <v>0.92983256953090243</v>
      </c>
      <c r="F59" s="206">
        <f t="shared" si="5"/>
        <v>0.11157990834370829</v>
      </c>
      <c r="G59" s="305"/>
      <c r="H59" s="145"/>
      <c r="I59" s="53">
        <f>+I49*0.83</f>
        <v>0.45412857142857144</v>
      </c>
      <c r="J59" s="53" t="s">
        <v>538</v>
      </c>
      <c r="K59" s="60">
        <f>I59/8</f>
        <v>5.676607142857143E-2</v>
      </c>
    </row>
    <row r="60" spans="1:12" s="3" customFormat="1" ht="12" customHeight="1" x14ac:dyDescent="0.2">
      <c r="A60" s="205"/>
      <c r="B60" s="12" t="s">
        <v>10</v>
      </c>
      <c r="C60" s="11" t="s">
        <v>33</v>
      </c>
      <c r="D60" s="11">
        <v>0.06</v>
      </c>
      <c r="E60" s="44">
        <f>VLOOKUP(B60,'Costo de Materiales'!B$4:D$350,3,FALSE)</f>
        <v>0.35088021491732146</v>
      </c>
      <c r="F60" s="206">
        <f t="shared" si="5"/>
        <v>2.1052812895039286E-2</v>
      </c>
      <c r="G60" s="305"/>
      <c r="H60" s="145"/>
      <c r="I60" s="53">
        <f>+I50*0.83</f>
        <v>0.22765714285714286</v>
      </c>
      <c r="J60" s="53" t="s">
        <v>538</v>
      </c>
      <c r="K60" s="60">
        <f>I60/8</f>
        <v>2.8457142857142858E-2</v>
      </c>
    </row>
    <row r="61" spans="1:12" s="3" customFormat="1" ht="12" customHeight="1" x14ac:dyDescent="0.2">
      <c r="A61" s="207"/>
      <c r="B61" s="26" t="s">
        <v>109</v>
      </c>
      <c r="C61" s="23" t="s">
        <v>11</v>
      </c>
      <c r="D61" s="103">
        <f>VLOOKUP(B61,'Costo de Materiales'!B$4:D$350,3,FALSE)</f>
        <v>0.28999999999999998</v>
      </c>
      <c r="E61" s="45">
        <f>SUM(F59:F60)</f>
        <v>0.13263272123874759</v>
      </c>
      <c r="F61" s="208">
        <f t="shared" si="5"/>
        <v>3.8463489159236794E-2</v>
      </c>
      <c r="G61" s="305"/>
      <c r="H61" s="145"/>
      <c r="I61" s="53"/>
      <c r="J61" s="53"/>
      <c r="K61" s="58"/>
    </row>
    <row r="62" spans="1:12" ht="12" customHeight="1" x14ac:dyDescent="0.2">
      <c r="A62" s="209">
        <v>7</v>
      </c>
      <c r="B62" s="88" t="s">
        <v>533</v>
      </c>
      <c r="C62" s="91" t="s">
        <v>38</v>
      </c>
      <c r="D62" s="91"/>
      <c r="E62" s="92"/>
      <c r="F62" s="210">
        <f>SUM(F63:F71)</f>
        <v>1.0554595725843636</v>
      </c>
      <c r="G62" s="304"/>
      <c r="H62" s="145"/>
      <c r="I62" s="53"/>
      <c r="J62" s="53"/>
    </row>
    <row r="63" spans="1:12" s="3" customFormat="1" ht="12" customHeight="1" x14ac:dyDescent="0.2">
      <c r="A63" s="205"/>
      <c r="B63" s="12" t="s">
        <v>8</v>
      </c>
      <c r="C63" s="11" t="s">
        <v>19</v>
      </c>
      <c r="D63" s="11">
        <v>0.26500000000000001</v>
      </c>
      <c r="E63" s="44">
        <f>VLOOKUP(B63,'Costo de Materiales'!B$4:D$350,3,FALSE)</f>
        <v>0.15330562338073847</v>
      </c>
      <c r="F63" s="206">
        <f>D63*E63</f>
        <v>4.0625990195895696E-2</v>
      </c>
      <c r="G63" s="305"/>
      <c r="H63" s="145"/>
      <c r="I63" s="53"/>
      <c r="J63" s="53"/>
      <c r="K63" s="58"/>
    </row>
    <row r="64" spans="1:12" s="3" customFormat="1" ht="12" customHeight="1" x14ac:dyDescent="0.2">
      <c r="A64" s="205"/>
      <c r="B64" s="12" t="s">
        <v>9</v>
      </c>
      <c r="C64" s="11" t="s">
        <v>6</v>
      </c>
      <c r="D64" s="11">
        <v>4.2999999999999997E-2</v>
      </c>
      <c r="E64" s="44">
        <f>VLOOKUP(B64,'Costo de Materiales'!B$4:D$350,3,FALSE)</f>
        <v>0.31100746322217132</v>
      </c>
      <c r="F64" s="206">
        <f t="shared" ref="F64:F71" si="6">D64*E64</f>
        <v>1.3373320918553366E-2</v>
      </c>
      <c r="G64" s="305"/>
      <c r="H64" s="145"/>
      <c r="I64" s="53"/>
      <c r="J64" s="53"/>
      <c r="K64" s="58"/>
    </row>
    <row r="65" spans="1:12" s="3" customFormat="1" ht="12" customHeight="1" x14ac:dyDescent="0.2">
      <c r="A65" s="205"/>
      <c r="B65" s="10" t="s">
        <v>531</v>
      </c>
      <c r="C65" s="11" t="s">
        <v>17</v>
      </c>
      <c r="D65" s="11">
        <f>+(33+34.6)/2</f>
        <v>33.799999999999997</v>
      </c>
      <c r="E65" s="44">
        <f>VLOOKUP(B65,'Costo de Materiales'!B$4:D$350,3,FALSE)</f>
        <v>1.5470354699819201E-2</v>
      </c>
      <c r="F65" s="206">
        <f t="shared" si="6"/>
        <v>0.52289798885388894</v>
      </c>
      <c r="G65" s="305"/>
      <c r="H65" s="145"/>
      <c r="I65" s="53"/>
      <c r="J65" s="53"/>
      <c r="K65" s="58"/>
    </row>
    <row r="66" spans="1:12" s="3" customFormat="1" ht="12" customHeight="1" x14ac:dyDescent="0.2">
      <c r="A66" s="205"/>
      <c r="B66" s="10" t="s">
        <v>527</v>
      </c>
      <c r="C66" s="11" t="s">
        <v>568</v>
      </c>
      <c r="D66" s="11">
        <v>3.3</v>
      </c>
      <c r="E66" s="44">
        <f>VLOOKUP(B66,'Costo de Materiales'!B$4:D$350,3,FALSE)</f>
        <v>1.9104956105198412E-2</v>
      </c>
      <c r="F66" s="206">
        <f t="shared" si="6"/>
        <v>6.3046355147154759E-2</v>
      </c>
      <c r="G66" s="305"/>
      <c r="H66" s="145"/>
      <c r="I66" s="53"/>
      <c r="J66" s="53"/>
      <c r="K66" s="58"/>
    </row>
    <row r="67" spans="1:12" s="3" customFormat="1" ht="12" customHeight="1" x14ac:dyDescent="0.2">
      <c r="A67" s="205"/>
      <c r="B67" s="12" t="s">
        <v>567</v>
      </c>
      <c r="C67" s="11" t="s">
        <v>568</v>
      </c>
      <c r="D67" s="11">
        <f>2*1.6</f>
        <v>3.2</v>
      </c>
      <c r="E67" s="44">
        <f>VLOOKUP(B67,'Costo de Materiales'!B$4:D$350,3,FALSE)</f>
        <v>5.1257199306629884E-2</v>
      </c>
      <c r="F67" s="206">
        <f t="shared" si="6"/>
        <v>0.16402303778121563</v>
      </c>
      <c r="G67" s="305"/>
      <c r="H67" s="145"/>
      <c r="I67" s="53"/>
      <c r="J67" s="53"/>
      <c r="K67" s="58"/>
      <c r="L67" s="107"/>
    </row>
    <row r="68" spans="1:12" s="3" customFormat="1" ht="12" customHeight="1" x14ac:dyDescent="0.2">
      <c r="A68" s="205"/>
      <c r="B68" s="12" t="s">
        <v>111</v>
      </c>
      <c r="C68" s="11" t="s">
        <v>11</v>
      </c>
      <c r="D68" s="11">
        <v>0.1</v>
      </c>
      <c r="E68" s="44">
        <f>SUM(F63:F67)</f>
        <v>0.80396669289670841</v>
      </c>
      <c r="F68" s="206">
        <f t="shared" si="6"/>
        <v>8.0396669289670847E-2</v>
      </c>
      <c r="G68" s="305"/>
      <c r="H68" s="145"/>
      <c r="I68" s="53"/>
      <c r="J68" s="53"/>
      <c r="K68" s="58"/>
    </row>
    <row r="69" spans="1:12" s="3" customFormat="1" ht="12" customHeight="1" x14ac:dyDescent="0.2">
      <c r="A69" s="205"/>
      <c r="B69" s="12" t="s">
        <v>96</v>
      </c>
      <c r="C69" s="11" t="s">
        <v>33</v>
      </c>
      <c r="D69" s="11">
        <v>0.12</v>
      </c>
      <c r="E69" s="44">
        <f>VLOOKUP(B69,'Costo de Materiales'!B$4:D$350,3,FALSE)</f>
        <v>0.92983256953090243</v>
      </c>
      <c r="F69" s="206">
        <f t="shared" si="6"/>
        <v>0.11157990834370829</v>
      </c>
      <c r="G69" s="305"/>
      <c r="H69" s="145"/>
      <c r="I69" s="53">
        <f>4.6/7</f>
        <v>0.65714285714285714</v>
      </c>
      <c r="J69" s="53" t="s">
        <v>538</v>
      </c>
      <c r="K69" s="60">
        <f>I69/8</f>
        <v>8.2142857142857142E-2</v>
      </c>
    </row>
    <row r="70" spans="1:12" s="3" customFormat="1" ht="12" customHeight="1" x14ac:dyDescent="0.2">
      <c r="A70" s="205"/>
      <c r="B70" s="12" t="s">
        <v>10</v>
      </c>
      <c r="C70" s="11" t="s">
        <v>33</v>
      </c>
      <c r="D70" s="11">
        <v>0.06</v>
      </c>
      <c r="E70" s="44">
        <f>VLOOKUP(B70,'Costo de Materiales'!B$4:D$350,3,FALSE)</f>
        <v>0.35088021491732146</v>
      </c>
      <c r="F70" s="206">
        <f t="shared" si="6"/>
        <v>2.1052812895039286E-2</v>
      </c>
      <c r="G70" s="305"/>
      <c r="H70" s="145"/>
      <c r="I70" s="53">
        <f>2.3/7</f>
        <v>0.32857142857142857</v>
      </c>
      <c r="J70" s="53" t="s">
        <v>538</v>
      </c>
      <c r="K70" s="60">
        <f>I70/8</f>
        <v>4.1071428571428571E-2</v>
      </c>
    </row>
    <row r="71" spans="1:12" s="3" customFormat="1" ht="12" customHeight="1" x14ac:dyDescent="0.2">
      <c r="A71" s="207"/>
      <c r="B71" s="26" t="s">
        <v>109</v>
      </c>
      <c r="C71" s="23" t="s">
        <v>11</v>
      </c>
      <c r="D71" s="103">
        <f>VLOOKUP(B71,'Costo de Materiales'!B$4:D$350,3,FALSE)</f>
        <v>0.28999999999999998</v>
      </c>
      <c r="E71" s="45">
        <f>SUM(F69:F70)</f>
        <v>0.13263272123874759</v>
      </c>
      <c r="F71" s="208">
        <f t="shared" si="6"/>
        <v>3.8463489159236794E-2</v>
      </c>
      <c r="G71" s="305"/>
      <c r="H71" s="145"/>
      <c r="I71" s="53"/>
      <c r="J71" s="53"/>
      <c r="K71" s="58"/>
    </row>
    <row r="72" spans="1:12" ht="12" customHeight="1" x14ac:dyDescent="0.2">
      <c r="A72" s="267">
        <v>8</v>
      </c>
      <c r="B72" s="259" t="s">
        <v>534</v>
      </c>
      <c r="C72" s="260" t="s">
        <v>38</v>
      </c>
      <c r="D72" s="260"/>
      <c r="E72" s="261"/>
      <c r="F72" s="270">
        <f>SUM(F73:F81)</f>
        <v>1.0359357053684681</v>
      </c>
      <c r="G72" s="303"/>
      <c r="H72" s="83"/>
      <c r="I72" s="53"/>
      <c r="J72" s="53"/>
    </row>
    <row r="73" spans="1:12" s="3" customFormat="1" ht="12" customHeight="1" x14ac:dyDescent="0.2">
      <c r="A73" s="205"/>
      <c r="B73" s="12" t="s">
        <v>8</v>
      </c>
      <c r="C73" s="11" t="s">
        <v>19</v>
      </c>
      <c r="D73" s="11">
        <v>0.26500000000000001</v>
      </c>
      <c r="E73" s="44">
        <f>VLOOKUP(B73,'Costo de Materiales'!B$4:D$350,3,FALSE)</f>
        <v>0.15330562338073847</v>
      </c>
      <c r="F73" s="206">
        <f>D73*E73</f>
        <v>4.0625990195895696E-2</v>
      </c>
      <c r="G73" s="302"/>
      <c r="H73" s="83"/>
      <c r="I73" s="53"/>
      <c r="J73" s="53"/>
      <c r="K73" s="58"/>
    </row>
    <row r="74" spans="1:12" s="3" customFormat="1" ht="12" customHeight="1" x14ac:dyDescent="0.2">
      <c r="A74" s="205"/>
      <c r="B74" s="12" t="s">
        <v>9</v>
      </c>
      <c r="C74" s="11" t="s">
        <v>6</v>
      </c>
      <c r="D74" s="11">
        <v>4.2999999999999997E-2</v>
      </c>
      <c r="E74" s="44">
        <f>VLOOKUP(B74,'Costo de Materiales'!B$4:D$350,3,FALSE)</f>
        <v>0.31100746322217132</v>
      </c>
      <c r="F74" s="206">
        <f t="shared" ref="F74:F81" si="7">D74*E74</f>
        <v>1.3373320918553366E-2</v>
      </c>
      <c r="G74" s="302"/>
      <c r="H74" s="83"/>
      <c r="I74" s="53"/>
      <c r="J74" s="53"/>
      <c r="K74" s="58"/>
    </row>
    <row r="75" spans="1:12" s="3" customFormat="1" ht="12" customHeight="1" x14ac:dyDescent="0.2">
      <c r="A75" s="205"/>
      <c r="B75" s="10" t="s">
        <v>532</v>
      </c>
      <c r="C75" s="11" t="s">
        <v>17</v>
      </c>
      <c r="D75" s="11">
        <f>+(27.1+26.7)/2</f>
        <v>26.9</v>
      </c>
      <c r="E75" s="44">
        <f>VLOOKUP(B75,'Costo de Materiales'!B$4:D$350,3,FALSE)</f>
        <v>1.8778773927792584E-2</v>
      </c>
      <c r="F75" s="206">
        <f t="shared" si="7"/>
        <v>0.50514901865762052</v>
      </c>
      <c r="G75" s="302"/>
      <c r="H75" s="83"/>
      <c r="I75" s="53"/>
      <c r="J75" s="53"/>
      <c r="K75" s="58"/>
    </row>
    <row r="76" spans="1:12" s="3" customFormat="1" ht="12" customHeight="1" x14ac:dyDescent="0.2">
      <c r="A76" s="205"/>
      <c r="B76" s="10" t="s">
        <v>527</v>
      </c>
      <c r="C76" s="11" t="s">
        <v>568</v>
      </c>
      <c r="D76" s="11">
        <v>3.3</v>
      </c>
      <c r="E76" s="44">
        <f>VLOOKUP(B76,'Costo de Materiales'!B$4:D$350,3,FALSE)</f>
        <v>1.9104956105198412E-2</v>
      </c>
      <c r="F76" s="206">
        <f t="shared" si="7"/>
        <v>6.3046355147154759E-2</v>
      </c>
      <c r="G76" s="302"/>
      <c r="H76" s="83"/>
      <c r="I76" s="53"/>
      <c r="J76" s="53"/>
      <c r="K76" s="58"/>
    </row>
    <row r="77" spans="1:12" s="3" customFormat="1" ht="12" customHeight="1" x14ac:dyDescent="0.2">
      <c r="A77" s="205"/>
      <c r="B77" s="12" t="s">
        <v>567</v>
      </c>
      <c r="C77" s="11" t="s">
        <v>568</v>
      </c>
      <c r="D77" s="11">
        <f>2*1.6</f>
        <v>3.2</v>
      </c>
      <c r="E77" s="44">
        <f>VLOOKUP(B77,'Costo de Materiales'!B$4:D$350,3,FALSE)</f>
        <v>5.1257199306629884E-2</v>
      </c>
      <c r="F77" s="206">
        <f t="shared" si="7"/>
        <v>0.16402303778121563</v>
      </c>
      <c r="G77" s="302"/>
      <c r="H77" s="83"/>
      <c r="I77" s="53"/>
      <c r="J77" s="53"/>
      <c r="K77" s="58"/>
      <c r="L77" s="107"/>
    </row>
    <row r="78" spans="1:12" s="3" customFormat="1" ht="12" customHeight="1" x14ac:dyDescent="0.2">
      <c r="A78" s="205"/>
      <c r="B78" s="12" t="s">
        <v>111</v>
      </c>
      <c r="C78" s="11" t="s">
        <v>11</v>
      </c>
      <c r="D78" s="11">
        <v>0.1</v>
      </c>
      <c r="E78" s="44">
        <f>SUM(F73:F77)</f>
        <v>0.78621772270043999</v>
      </c>
      <c r="F78" s="206">
        <f t="shared" si="7"/>
        <v>7.8621772270044007E-2</v>
      </c>
      <c r="G78" s="302"/>
      <c r="H78" s="83"/>
      <c r="I78" s="53"/>
      <c r="J78" s="53"/>
      <c r="K78" s="58"/>
    </row>
    <row r="79" spans="1:12" s="3" customFormat="1" ht="12" customHeight="1" x14ac:dyDescent="0.2">
      <c r="A79" s="205"/>
      <c r="B79" s="12" t="s">
        <v>96</v>
      </c>
      <c r="C79" s="11" t="s">
        <v>33</v>
      </c>
      <c r="D79" s="11">
        <v>0.12</v>
      </c>
      <c r="E79" s="44">
        <f>VLOOKUP(B79,'Costo de Materiales'!B$4:D$350,3,FALSE)</f>
        <v>0.92983256953090243</v>
      </c>
      <c r="F79" s="206">
        <f t="shared" si="7"/>
        <v>0.11157990834370829</v>
      </c>
      <c r="G79" s="302"/>
      <c r="H79" s="83"/>
      <c r="I79" s="53">
        <f>3.83/7</f>
        <v>0.54714285714285715</v>
      </c>
      <c r="J79" s="53" t="s">
        <v>538</v>
      </c>
      <c r="K79" s="60">
        <f>I79/8</f>
        <v>6.8392857142857144E-2</v>
      </c>
    </row>
    <row r="80" spans="1:12" s="3" customFormat="1" ht="12" customHeight="1" x14ac:dyDescent="0.2">
      <c r="A80" s="205"/>
      <c r="B80" s="12" t="s">
        <v>10</v>
      </c>
      <c r="C80" s="11" t="s">
        <v>33</v>
      </c>
      <c r="D80" s="11">
        <v>0.06</v>
      </c>
      <c r="E80" s="44">
        <f>VLOOKUP(B80,'Costo de Materiales'!B$4:D$350,3,FALSE)</f>
        <v>0.35088021491732146</v>
      </c>
      <c r="F80" s="206">
        <f t="shared" si="7"/>
        <v>2.1052812895039286E-2</v>
      </c>
      <c r="G80" s="302"/>
      <c r="H80" s="83"/>
      <c r="I80" s="53">
        <f>1.92/7</f>
        <v>0.2742857142857143</v>
      </c>
      <c r="J80" s="53" t="s">
        <v>538</v>
      </c>
      <c r="K80" s="60">
        <f>I80/8</f>
        <v>3.4285714285714287E-2</v>
      </c>
    </row>
    <row r="81" spans="1:12" s="3" customFormat="1" ht="12" customHeight="1" x14ac:dyDescent="0.2">
      <c r="A81" s="207"/>
      <c r="B81" s="26" t="s">
        <v>109</v>
      </c>
      <c r="C81" s="23" t="s">
        <v>11</v>
      </c>
      <c r="D81" s="80">
        <f>VLOOKUP(B81,'Costo de Materiales'!B$4:D$350,3,FALSE)</f>
        <v>0.28999999999999998</v>
      </c>
      <c r="E81" s="45">
        <f>SUM(F79:F80)</f>
        <v>0.13263272123874759</v>
      </c>
      <c r="F81" s="208">
        <f t="shared" si="7"/>
        <v>3.8463489159236794E-2</v>
      </c>
      <c r="G81" s="302"/>
      <c r="H81" s="83"/>
      <c r="I81" s="53"/>
      <c r="J81" s="53"/>
      <c r="K81" s="58"/>
    </row>
    <row r="82" spans="1:12" ht="12" customHeight="1" x14ac:dyDescent="0.2">
      <c r="A82" s="209">
        <v>9</v>
      </c>
      <c r="B82" s="88" t="s">
        <v>535</v>
      </c>
      <c r="C82" s="91" t="s">
        <v>38</v>
      </c>
      <c r="D82" s="91"/>
      <c r="E82" s="92"/>
      <c r="F82" s="210">
        <f>SUM(F83:F91)</f>
        <v>1.0544703086377458</v>
      </c>
      <c r="G82" s="303"/>
      <c r="H82" s="83"/>
      <c r="I82" s="53"/>
      <c r="J82" s="53"/>
    </row>
    <row r="83" spans="1:12" s="3" customFormat="1" ht="12" customHeight="1" x14ac:dyDescent="0.2">
      <c r="A83" s="205"/>
      <c r="B83" s="12" t="s">
        <v>8</v>
      </c>
      <c r="C83" s="11" t="s">
        <v>19</v>
      </c>
      <c r="D83" s="11">
        <v>0.26500000000000001</v>
      </c>
      <c r="E83" s="44">
        <f>VLOOKUP(B83,'Costo de Materiales'!B$4:D$350,3,FALSE)</f>
        <v>0.15330562338073847</v>
      </c>
      <c r="F83" s="206">
        <f>D83*E83</f>
        <v>4.0625990195895696E-2</v>
      </c>
      <c r="G83" s="302"/>
      <c r="H83" s="83"/>
      <c r="I83" s="53"/>
      <c r="J83" s="53"/>
      <c r="K83" s="58"/>
    </row>
    <row r="84" spans="1:12" s="3" customFormat="1" ht="12" customHeight="1" x14ac:dyDescent="0.2">
      <c r="A84" s="205"/>
      <c r="B84" s="12" t="s">
        <v>9</v>
      </c>
      <c r="C84" s="11" t="s">
        <v>6</v>
      </c>
      <c r="D84" s="11">
        <v>4.2999999999999997E-2</v>
      </c>
      <c r="E84" s="44">
        <f>VLOOKUP(B84,'Costo de Materiales'!B$4:D$350,3,FALSE)</f>
        <v>0.31100746322217132</v>
      </c>
      <c r="F84" s="206">
        <f t="shared" ref="F84:F91" si="8">D84*E84</f>
        <v>1.3373320918553366E-2</v>
      </c>
      <c r="G84" s="302"/>
      <c r="H84" s="83"/>
      <c r="I84" s="53"/>
      <c r="J84" s="53"/>
      <c r="K84" s="58"/>
    </row>
    <row r="85" spans="1:12" s="3" customFormat="1" ht="12" customHeight="1" x14ac:dyDescent="0.2">
      <c r="A85" s="205"/>
      <c r="B85" s="10" t="s">
        <v>536</v>
      </c>
      <c r="C85" s="11" t="s">
        <v>17</v>
      </c>
      <c r="D85" s="11">
        <f>+(23.4+22.7)/2</f>
        <v>23.049999999999997</v>
      </c>
      <c r="E85" s="44">
        <f>VLOOKUP(B85,'Costo de Materiales'!B$4:D$350,3,FALSE)</f>
        <v>2.2646362602747383E-2</v>
      </c>
      <c r="F85" s="206">
        <f t="shared" si="8"/>
        <v>0.52199865799332712</v>
      </c>
      <c r="G85" s="302"/>
      <c r="H85" s="83"/>
      <c r="I85" s="53"/>
      <c r="J85" s="53"/>
      <c r="K85" s="58"/>
    </row>
    <row r="86" spans="1:12" s="3" customFormat="1" ht="12" customHeight="1" x14ac:dyDescent="0.2">
      <c r="A86" s="205"/>
      <c r="B86" s="10" t="s">
        <v>527</v>
      </c>
      <c r="C86" s="11" t="s">
        <v>568</v>
      </c>
      <c r="D86" s="11">
        <v>3.3</v>
      </c>
      <c r="E86" s="44">
        <f>VLOOKUP(B86,'Costo de Materiales'!B$4:D$350,3,FALSE)</f>
        <v>1.9104956105198412E-2</v>
      </c>
      <c r="F86" s="206">
        <f t="shared" si="8"/>
        <v>6.3046355147154759E-2</v>
      </c>
      <c r="G86" s="302"/>
      <c r="H86" s="83"/>
      <c r="I86" s="53"/>
      <c r="J86" s="53"/>
      <c r="K86" s="58"/>
    </row>
    <row r="87" spans="1:12" s="3" customFormat="1" ht="12" customHeight="1" x14ac:dyDescent="0.2">
      <c r="A87" s="205"/>
      <c r="B87" s="12" t="s">
        <v>567</v>
      </c>
      <c r="C87" s="11" t="s">
        <v>568</v>
      </c>
      <c r="D87" s="11">
        <f>2*1.6</f>
        <v>3.2</v>
      </c>
      <c r="E87" s="44">
        <f>VLOOKUP(B87,'Costo de Materiales'!B$4:D$350,3,FALSE)</f>
        <v>5.1257199306629884E-2</v>
      </c>
      <c r="F87" s="206">
        <f t="shared" si="8"/>
        <v>0.16402303778121563</v>
      </c>
      <c r="G87" s="302"/>
      <c r="H87" s="83"/>
      <c r="I87" s="53"/>
      <c r="J87" s="53"/>
      <c r="K87" s="58"/>
      <c r="L87" s="107"/>
    </row>
    <row r="88" spans="1:12" s="3" customFormat="1" ht="12" customHeight="1" x14ac:dyDescent="0.2">
      <c r="A88" s="205"/>
      <c r="B88" s="12" t="s">
        <v>111</v>
      </c>
      <c r="C88" s="11" t="s">
        <v>11</v>
      </c>
      <c r="D88" s="11">
        <v>0.1</v>
      </c>
      <c r="E88" s="44">
        <f>SUM(F83:F87)</f>
        <v>0.80306736203614659</v>
      </c>
      <c r="F88" s="206">
        <f t="shared" si="8"/>
        <v>8.030673620361467E-2</v>
      </c>
      <c r="G88" s="302"/>
      <c r="H88" s="83"/>
      <c r="I88" s="53"/>
      <c r="J88" s="53"/>
      <c r="K88" s="58"/>
    </row>
    <row r="89" spans="1:12" s="3" customFormat="1" ht="12" customHeight="1" x14ac:dyDescent="0.2">
      <c r="A89" s="205"/>
      <c r="B89" s="12" t="s">
        <v>96</v>
      </c>
      <c r="C89" s="11" t="s">
        <v>33</v>
      </c>
      <c r="D89" s="11">
        <v>0.12</v>
      </c>
      <c r="E89" s="44">
        <f>VLOOKUP(B89,'Costo de Materiales'!B$4:D$350,3,FALSE)</f>
        <v>0.92983256953090243</v>
      </c>
      <c r="F89" s="206">
        <f t="shared" si="8"/>
        <v>0.11157990834370829</v>
      </c>
      <c r="G89" s="302"/>
      <c r="H89" s="83"/>
      <c r="I89" s="53">
        <f>+I79*0.83</f>
        <v>0.45412857142857144</v>
      </c>
      <c r="J89" s="53" t="s">
        <v>538</v>
      </c>
      <c r="K89" s="60">
        <f>I89/8</f>
        <v>5.676607142857143E-2</v>
      </c>
    </row>
    <row r="90" spans="1:12" s="3" customFormat="1" ht="12" customHeight="1" x14ac:dyDescent="0.2">
      <c r="A90" s="205"/>
      <c r="B90" s="12" t="s">
        <v>10</v>
      </c>
      <c r="C90" s="11" t="s">
        <v>33</v>
      </c>
      <c r="D90" s="11">
        <v>0.06</v>
      </c>
      <c r="E90" s="44">
        <f>VLOOKUP(B90,'Costo de Materiales'!B$4:D$350,3,FALSE)</f>
        <v>0.35088021491732146</v>
      </c>
      <c r="F90" s="206">
        <f t="shared" si="8"/>
        <v>2.1052812895039286E-2</v>
      </c>
      <c r="G90" s="302"/>
      <c r="H90" s="83"/>
      <c r="I90" s="53">
        <f>+I80*0.83</f>
        <v>0.22765714285714286</v>
      </c>
      <c r="J90" s="53" t="s">
        <v>538</v>
      </c>
      <c r="K90" s="60">
        <f>I90/8</f>
        <v>2.8457142857142858E-2</v>
      </c>
    </row>
    <row r="91" spans="1:12" s="3" customFormat="1" ht="12" customHeight="1" x14ac:dyDescent="0.2">
      <c r="A91" s="207"/>
      <c r="B91" s="26" t="s">
        <v>109</v>
      </c>
      <c r="C91" s="23" t="s">
        <v>11</v>
      </c>
      <c r="D91" s="103">
        <f>VLOOKUP(B91,'Costo de Materiales'!B$4:D$350,3,FALSE)</f>
        <v>0.28999999999999998</v>
      </c>
      <c r="E91" s="45">
        <f>SUM(F89:F90)</f>
        <v>0.13263272123874759</v>
      </c>
      <c r="F91" s="208">
        <f t="shared" si="8"/>
        <v>3.8463489159236794E-2</v>
      </c>
      <c r="G91" s="302"/>
      <c r="H91" s="83"/>
      <c r="I91" s="53"/>
      <c r="J91" s="53"/>
      <c r="K91" s="58"/>
    </row>
    <row r="92" spans="1:12" ht="12" customHeight="1" x14ac:dyDescent="0.2">
      <c r="A92" s="209">
        <v>10</v>
      </c>
      <c r="B92" s="88" t="s">
        <v>663</v>
      </c>
      <c r="C92" s="91" t="s">
        <v>38</v>
      </c>
      <c r="D92" s="91"/>
      <c r="E92" s="92"/>
      <c r="F92" s="210">
        <f>SUM(F93:F100)</f>
        <v>0.46033340106389709</v>
      </c>
      <c r="G92" s="304"/>
      <c r="H92" s="145"/>
      <c r="I92" s="53"/>
      <c r="J92" s="53"/>
    </row>
    <row r="93" spans="1:12" s="3" customFormat="1" ht="12" customHeight="1" x14ac:dyDescent="0.2">
      <c r="A93" s="205"/>
      <c r="B93" s="12" t="s">
        <v>8</v>
      </c>
      <c r="C93" s="11" t="s">
        <v>19</v>
      </c>
      <c r="D93" s="11">
        <v>0.35</v>
      </c>
      <c r="E93" s="44">
        <f>VLOOKUP(B93,'Costo de Materiales'!B$4:D$350,3,FALSE)</f>
        <v>0.15330562338073847</v>
      </c>
      <c r="F93" s="206">
        <f>D93*E93</f>
        <v>5.3656968183258463E-2</v>
      </c>
      <c r="G93" s="305"/>
      <c r="H93" s="145"/>
      <c r="I93" s="53"/>
      <c r="J93" s="53"/>
      <c r="K93" s="58"/>
    </row>
    <row r="94" spans="1:12" s="3" customFormat="1" ht="12" customHeight="1" x14ac:dyDescent="0.2">
      <c r="A94" s="205"/>
      <c r="B94" s="12" t="s">
        <v>9</v>
      </c>
      <c r="C94" s="11" t="s">
        <v>6</v>
      </c>
      <c r="D94" s="11">
        <v>4.2999999999999997E-2</v>
      </c>
      <c r="E94" s="44">
        <f>VLOOKUP(B94,'Costo de Materiales'!B$4:D$350,3,FALSE)</f>
        <v>0.31100746322217132</v>
      </c>
      <c r="F94" s="206">
        <f t="shared" ref="F94:F100" si="9">D94*E94</f>
        <v>1.3373320918553366E-2</v>
      </c>
      <c r="G94" s="305"/>
      <c r="H94" s="145"/>
      <c r="I94" s="53">
        <v>1.48</v>
      </c>
      <c r="J94" s="53" t="s">
        <v>18</v>
      </c>
      <c r="K94" s="58"/>
    </row>
    <row r="95" spans="1:12" s="3" customFormat="1" ht="12" customHeight="1" x14ac:dyDescent="0.2">
      <c r="A95" s="205"/>
      <c r="B95" s="12" t="s">
        <v>307</v>
      </c>
      <c r="C95" s="11" t="s">
        <v>17</v>
      </c>
      <c r="D95" s="11">
        <v>41</v>
      </c>
      <c r="E95" s="44">
        <f>VLOOKUP(B95,'Costo de Materiales'!B$4:D$350,3,FALSE)</f>
        <v>4.0191733708711368E-3</v>
      </c>
      <c r="F95" s="206">
        <f t="shared" si="9"/>
        <v>0.1647861082057166</v>
      </c>
      <c r="G95" s="305"/>
      <c r="H95" s="145"/>
      <c r="I95" s="53"/>
      <c r="J95" s="53"/>
      <c r="K95" s="58"/>
    </row>
    <row r="96" spans="1:12" s="3" customFormat="1" ht="12" customHeight="1" x14ac:dyDescent="0.2">
      <c r="A96" s="205"/>
      <c r="B96" s="10" t="s">
        <v>527</v>
      </c>
      <c r="C96" s="11" t="s">
        <v>568</v>
      </c>
      <c r="D96" s="11">
        <v>2.2000000000000002</v>
      </c>
      <c r="E96" s="44">
        <f>VLOOKUP(B96,'Costo de Materiales'!B$4:D$350,3,FALSE)</f>
        <v>1.9104956105198412E-2</v>
      </c>
      <c r="F96" s="206">
        <f t="shared" si="9"/>
        <v>4.2030903431436506E-2</v>
      </c>
      <c r="G96" s="305"/>
      <c r="H96" s="145"/>
      <c r="I96" s="53"/>
      <c r="J96" s="53"/>
      <c r="K96" s="60"/>
    </row>
    <row r="97" spans="1:12" s="3" customFormat="1" ht="12" customHeight="1" x14ac:dyDescent="0.2">
      <c r="A97" s="205"/>
      <c r="B97" s="12" t="s">
        <v>111</v>
      </c>
      <c r="C97" s="11" t="s">
        <v>11</v>
      </c>
      <c r="D97" s="11">
        <v>0.1</v>
      </c>
      <c r="E97" s="44">
        <f>SUM(F93:F96)</f>
        <v>0.2738473007389649</v>
      </c>
      <c r="F97" s="206">
        <f t="shared" si="9"/>
        <v>2.7384730073896493E-2</v>
      </c>
      <c r="G97" s="305"/>
      <c r="H97" s="145"/>
      <c r="I97" s="56"/>
      <c r="J97" s="56"/>
      <c r="K97" s="58"/>
    </row>
    <row r="98" spans="1:12" s="3" customFormat="1" ht="12" customHeight="1" x14ac:dyDescent="0.2">
      <c r="A98" s="205"/>
      <c r="B98" s="12" t="s">
        <v>96</v>
      </c>
      <c r="C98" s="11" t="s">
        <v>33</v>
      </c>
      <c r="D98" s="11">
        <v>0.11</v>
      </c>
      <c r="E98" s="44">
        <f>VLOOKUP(B98,'Costo de Materiales'!B$4:D$350,3,FALSE)</f>
        <v>0.92983256953090243</v>
      </c>
      <c r="F98" s="206">
        <f t="shared" si="9"/>
        <v>0.10228158264839927</v>
      </c>
      <c r="G98" s="305"/>
      <c r="H98" s="145"/>
      <c r="I98" s="3">
        <f>6.6/7</f>
        <v>0.94285714285714284</v>
      </c>
      <c r="J98" s="3" t="s">
        <v>538</v>
      </c>
      <c r="K98" s="60">
        <f>I98/8</f>
        <v>0.11785714285714285</v>
      </c>
    </row>
    <row r="99" spans="1:12" s="3" customFormat="1" ht="12" customHeight="1" x14ac:dyDescent="0.2">
      <c r="A99" s="205"/>
      <c r="B99" s="12" t="s">
        <v>10</v>
      </c>
      <c r="C99" s="11" t="s">
        <v>33</v>
      </c>
      <c r="D99" s="11">
        <v>0.06</v>
      </c>
      <c r="E99" s="44">
        <f>VLOOKUP(B99,'Costo de Materiales'!B$4:D$350,3,FALSE)</f>
        <v>0.35088021491732146</v>
      </c>
      <c r="F99" s="206">
        <f t="shared" si="9"/>
        <v>2.1052812895039286E-2</v>
      </c>
      <c r="G99" s="305"/>
      <c r="H99" s="145"/>
      <c r="I99" s="3">
        <f>3.3/7</f>
        <v>0.47142857142857142</v>
      </c>
      <c r="J99" s="3" t="s">
        <v>538</v>
      </c>
      <c r="K99" s="60">
        <f>I99/8</f>
        <v>5.8928571428571427E-2</v>
      </c>
    </row>
    <row r="100" spans="1:12" s="3" customFormat="1" ht="12" customHeight="1" x14ac:dyDescent="0.2">
      <c r="A100" s="207"/>
      <c r="B100" s="26" t="s">
        <v>109</v>
      </c>
      <c r="C100" s="23" t="s">
        <v>11</v>
      </c>
      <c r="D100" s="80">
        <f>VLOOKUP(B100,'Costo de Materiales'!B$4:D$350,3,FALSE)</f>
        <v>0.28999999999999998</v>
      </c>
      <c r="E100" s="45">
        <f>SUM(F98:F99)</f>
        <v>0.12333439554343856</v>
      </c>
      <c r="F100" s="208">
        <f t="shared" si="9"/>
        <v>3.5766974707597182E-2</v>
      </c>
      <c r="G100" s="305"/>
      <c r="H100" s="145"/>
      <c r="I100" s="53"/>
      <c r="J100" s="53"/>
      <c r="K100" s="58"/>
    </row>
    <row r="101" spans="1:12" ht="12" customHeight="1" x14ac:dyDescent="0.2">
      <c r="A101" s="209">
        <v>11</v>
      </c>
      <c r="B101" s="88" t="s">
        <v>496</v>
      </c>
      <c r="C101" s="91" t="s">
        <v>38</v>
      </c>
      <c r="D101" s="89"/>
      <c r="E101" s="94"/>
      <c r="F101" s="210">
        <f>SUM(F102:F108)</f>
        <v>0.23579494624503361</v>
      </c>
      <c r="G101" s="304"/>
      <c r="H101" s="145"/>
      <c r="I101" s="53"/>
      <c r="J101" s="53"/>
    </row>
    <row r="102" spans="1:12" ht="12" customHeight="1" x14ac:dyDescent="0.2">
      <c r="A102" s="211"/>
      <c r="B102" s="12" t="s">
        <v>8</v>
      </c>
      <c r="C102" s="11" t="s">
        <v>19</v>
      </c>
      <c r="D102" s="11">
        <v>0.09</v>
      </c>
      <c r="E102" s="44">
        <f>VLOOKUP(B102,'Costo de Materiales'!B$4:D$350,3,FALSE)</f>
        <v>0.15330562338073847</v>
      </c>
      <c r="F102" s="206">
        <f>D102*E102</f>
        <v>1.3797506104266461E-2</v>
      </c>
      <c r="G102" s="305"/>
      <c r="H102" s="145"/>
      <c r="I102" s="53"/>
      <c r="J102" s="53"/>
    </row>
    <row r="103" spans="1:12" ht="12" customHeight="1" x14ac:dyDescent="0.2">
      <c r="A103" s="211"/>
      <c r="B103" s="12" t="s">
        <v>9</v>
      </c>
      <c r="C103" s="11" t="s">
        <v>6</v>
      </c>
      <c r="D103" s="11">
        <v>1.4999999999999999E-2</v>
      </c>
      <c r="E103" s="44">
        <f>VLOOKUP(B103,'Costo de Materiales'!B$4:D$350,3,FALSE)</f>
        <v>0.31100746322217132</v>
      </c>
      <c r="F103" s="206">
        <f t="shared" ref="F103:F108" si="10">D103*E103</f>
        <v>4.66511194833257E-3</v>
      </c>
      <c r="G103" s="305"/>
      <c r="H103" s="145"/>
      <c r="I103" s="53"/>
      <c r="J103" s="53"/>
    </row>
    <row r="104" spans="1:12" ht="12" customHeight="1" x14ac:dyDescent="0.2">
      <c r="A104" s="211"/>
      <c r="B104" s="12" t="s">
        <v>629</v>
      </c>
      <c r="C104" s="11" t="s">
        <v>17</v>
      </c>
      <c r="D104" s="11">
        <v>20.5</v>
      </c>
      <c r="E104" s="44">
        <f>VLOOKUP(B104,'Costo de Materiales'!B$4:D$350,3,FALSE)</f>
        <v>4.4976463912129389E-3</v>
      </c>
      <c r="F104" s="206">
        <f t="shared" si="10"/>
        <v>9.2201751019865247E-2</v>
      </c>
      <c r="G104" s="305"/>
      <c r="H104" s="145"/>
      <c r="I104" s="53"/>
      <c r="J104" s="53"/>
    </row>
    <row r="105" spans="1:12" ht="12" customHeight="1" x14ac:dyDescent="0.2">
      <c r="A105" s="211"/>
      <c r="B105" s="12" t="s">
        <v>111</v>
      </c>
      <c r="C105" s="11" t="s">
        <v>11</v>
      </c>
      <c r="D105" s="11">
        <v>0.1</v>
      </c>
      <c r="E105" s="44">
        <f>SUM(F102:F104)</f>
        <v>0.11066436907246427</v>
      </c>
      <c r="F105" s="206">
        <f t="shared" si="10"/>
        <v>1.1066436907246428E-2</v>
      </c>
      <c r="G105" s="305"/>
      <c r="H105" s="145"/>
      <c r="I105" s="53"/>
      <c r="J105" s="53"/>
    </row>
    <row r="106" spans="1:12" ht="12" customHeight="1" x14ac:dyDescent="0.2">
      <c r="A106" s="211"/>
      <c r="B106" s="12" t="s">
        <v>96</v>
      </c>
      <c r="C106" s="11" t="s">
        <v>33</v>
      </c>
      <c r="D106" s="11">
        <v>0.08</v>
      </c>
      <c r="E106" s="44">
        <f>VLOOKUP(B106,'Costo de Materiales'!B$4:D$350,3,FALSE)</f>
        <v>0.92983256953090243</v>
      </c>
      <c r="F106" s="206">
        <f t="shared" si="10"/>
        <v>7.4386605562472202E-2</v>
      </c>
      <c r="G106" s="305"/>
      <c r="H106" s="145"/>
      <c r="I106" s="3">
        <v>1.1100000000000001</v>
      </c>
      <c r="J106" s="3" t="s">
        <v>538</v>
      </c>
      <c r="K106" s="60">
        <f>I106/8</f>
        <v>0.13875000000000001</v>
      </c>
    </row>
    <row r="107" spans="1:12" ht="12" customHeight="1" x14ac:dyDescent="0.2">
      <c r="A107" s="211"/>
      <c r="B107" s="12" t="s">
        <v>10</v>
      </c>
      <c r="C107" s="11" t="s">
        <v>33</v>
      </c>
      <c r="D107" s="11">
        <v>0.04</v>
      </c>
      <c r="E107" s="44">
        <f>VLOOKUP(B107,'Costo de Materiales'!B$4:D$350,3,FALSE)</f>
        <v>0.35088021491732146</v>
      </c>
      <c r="F107" s="206">
        <f t="shared" si="10"/>
        <v>1.4035208596692859E-2</v>
      </c>
      <c r="G107" s="305"/>
      <c r="H107" s="145"/>
      <c r="I107" s="3">
        <v>0.55000000000000004</v>
      </c>
      <c r="J107" s="3" t="s">
        <v>538</v>
      </c>
      <c r="K107" s="60">
        <f>I107/8</f>
        <v>6.8750000000000006E-2</v>
      </c>
    </row>
    <row r="108" spans="1:12" ht="12" customHeight="1" x14ac:dyDescent="0.2">
      <c r="A108" s="212"/>
      <c r="B108" s="26" t="s">
        <v>109</v>
      </c>
      <c r="C108" s="23" t="s">
        <v>11</v>
      </c>
      <c r="D108" s="103">
        <f>VLOOKUP(B108,'Costo de Materiales'!B$4:D$350,3,FALSE)</f>
        <v>0.28999999999999998</v>
      </c>
      <c r="E108" s="45">
        <f>SUM(F106:F107)</f>
        <v>8.8421814159165057E-2</v>
      </c>
      <c r="F108" s="208">
        <f t="shared" si="10"/>
        <v>2.5642326106157864E-2</v>
      </c>
      <c r="G108" s="305"/>
      <c r="H108" s="145"/>
    </row>
    <row r="109" spans="1:12" ht="12" customHeight="1" x14ac:dyDescent="0.2">
      <c r="A109" s="213">
        <v>12</v>
      </c>
      <c r="B109" s="88" t="s">
        <v>438</v>
      </c>
      <c r="C109" s="91" t="s">
        <v>38</v>
      </c>
      <c r="D109" s="91"/>
      <c r="E109" s="92"/>
      <c r="F109" s="210">
        <f>SUM(F110:F114)</f>
        <v>4.5070900726085501E-2</v>
      </c>
      <c r="G109" s="303"/>
      <c r="H109" s="83"/>
      <c r="I109" s="53"/>
      <c r="J109" s="53"/>
    </row>
    <row r="110" spans="1:12" s="3" customFormat="1" ht="12" customHeight="1" x14ac:dyDescent="0.2">
      <c r="A110" s="214"/>
      <c r="B110" s="12" t="s">
        <v>142</v>
      </c>
      <c r="C110" s="11" t="s">
        <v>6</v>
      </c>
      <c r="D110" s="11">
        <v>0.104</v>
      </c>
      <c r="E110" s="44">
        <f>VLOOKUP(B110,'Costo de Materiales'!B$4:D$350,3,FALSE)</f>
        <v>0.31100746322217132</v>
      </c>
      <c r="F110" s="206">
        <f>D110*E110</f>
        <v>3.2344776175105817E-2</v>
      </c>
      <c r="G110" s="302"/>
      <c r="H110" s="83"/>
      <c r="I110" s="53"/>
      <c r="J110" s="53"/>
      <c r="K110" s="58"/>
      <c r="L110" s="41"/>
    </row>
    <row r="111" spans="1:12" s="3" customFormat="1" ht="12" customHeight="1" x14ac:dyDescent="0.2">
      <c r="A111" s="214"/>
      <c r="B111" s="12" t="s">
        <v>5</v>
      </c>
      <c r="C111" s="11" t="s">
        <v>650</v>
      </c>
      <c r="D111" s="11">
        <v>0.01</v>
      </c>
      <c r="E111" s="44">
        <f>VLOOKUP(B111,'Costo de Materiales'!B$4:D$350,3,FALSE)</f>
        <v>0.2153128591538109</v>
      </c>
      <c r="F111" s="206">
        <f>D111*E111</f>
        <v>2.1531285915381091E-3</v>
      </c>
      <c r="G111" s="302"/>
      <c r="H111" s="83"/>
      <c r="I111" s="53"/>
      <c r="J111" s="53"/>
      <c r="K111" s="58"/>
    </row>
    <row r="112" spans="1:12" s="3" customFormat="1" ht="12" customHeight="1" x14ac:dyDescent="0.2">
      <c r="A112" s="214"/>
      <c r="B112" s="12" t="s">
        <v>32</v>
      </c>
      <c r="C112" s="11" t="s">
        <v>20</v>
      </c>
      <c r="D112" s="11">
        <v>0.05</v>
      </c>
      <c r="E112" s="44">
        <f>VLOOKUP(B112,'Costo de Materiales'!B$4:D$350,3,FALSE)</f>
        <v>3.0395519188831519E-2</v>
      </c>
      <c r="F112" s="206">
        <f>D112*E112</f>
        <v>1.519775959441576E-3</v>
      </c>
      <c r="G112" s="302"/>
      <c r="H112" s="83"/>
      <c r="I112" s="53"/>
      <c r="J112" s="53"/>
      <c r="K112" s="58"/>
    </row>
    <row r="113" spans="1:12" s="3" customFormat="1" ht="12" customHeight="1" x14ac:dyDescent="0.2">
      <c r="A113" s="214"/>
      <c r="B113" s="12" t="s">
        <v>1</v>
      </c>
      <c r="C113" s="11" t="s">
        <v>33</v>
      </c>
      <c r="D113" s="11">
        <v>0.02</v>
      </c>
      <c r="E113" s="44">
        <f>VLOOKUP(B113,'Costo de Materiales'!B$4:D$350,3,FALSE)</f>
        <v>0.35090000000000005</v>
      </c>
      <c r="F113" s="206">
        <f>D113*E113</f>
        <v>7.0180000000000008E-3</v>
      </c>
      <c r="G113" s="302"/>
      <c r="H113" s="83"/>
      <c r="I113" s="53"/>
      <c r="J113" s="53"/>
      <c r="K113" s="58"/>
    </row>
    <row r="114" spans="1:12" s="3" customFormat="1" ht="12" customHeight="1" x14ac:dyDescent="0.2">
      <c r="A114" s="215"/>
      <c r="B114" s="12" t="s">
        <v>109</v>
      </c>
      <c r="C114" s="11" t="s">
        <v>11</v>
      </c>
      <c r="D114" s="80">
        <f>VLOOKUP(B114,'Costo de Materiales'!B$4:D$350,3,FALSE)</f>
        <v>0.28999999999999998</v>
      </c>
      <c r="E114" s="44">
        <f>F113</f>
        <v>7.0180000000000008E-3</v>
      </c>
      <c r="F114" s="206">
        <f>D114*E114</f>
        <v>2.0352199999999999E-3</v>
      </c>
      <c r="G114" s="302"/>
      <c r="H114" s="83"/>
      <c r="I114" s="53"/>
      <c r="J114" s="53"/>
      <c r="K114" s="58"/>
    </row>
    <row r="115" spans="1:12" ht="12.75" customHeight="1" x14ac:dyDescent="0.2">
      <c r="A115" s="213">
        <v>13</v>
      </c>
      <c r="B115" s="87" t="s">
        <v>437</v>
      </c>
      <c r="C115" s="91" t="s">
        <v>38</v>
      </c>
      <c r="D115" s="91"/>
      <c r="E115" s="92"/>
      <c r="F115" s="210">
        <f>SUM(F116:F120)</f>
        <v>5.3157094769861954E-2</v>
      </c>
      <c r="G115" s="304"/>
      <c r="H115" s="145"/>
      <c r="I115" s="53"/>
      <c r="J115" s="53"/>
    </row>
    <row r="116" spans="1:12" s="3" customFormat="1" ht="12" customHeight="1" x14ac:dyDescent="0.2">
      <c r="A116" s="214"/>
      <c r="B116" s="24" t="s">
        <v>142</v>
      </c>
      <c r="C116" s="11" t="s">
        <v>6</v>
      </c>
      <c r="D116" s="11">
        <v>0.13</v>
      </c>
      <c r="E116" s="44">
        <f>VLOOKUP(B116,'Costo de Materiales'!B$4:D$350,3,FALSE)</f>
        <v>0.31100746322217132</v>
      </c>
      <c r="F116" s="206">
        <f>D116*E116</f>
        <v>4.043097021888227E-2</v>
      </c>
      <c r="G116" s="305"/>
      <c r="H116" s="145"/>
      <c r="I116" s="53"/>
      <c r="J116" s="53"/>
      <c r="K116" s="58"/>
      <c r="L116" s="41"/>
    </row>
    <row r="117" spans="1:12" s="3" customFormat="1" ht="12" customHeight="1" x14ac:dyDescent="0.2">
      <c r="A117" s="214"/>
      <c r="B117" s="24" t="s">
        <v>5</v>
      </c>
      <c r="C117" s="11" t="s">
        <v>650</v>
      </c>
      <c r="D117" s="11">
        <v>0.01</v>
      </c>
      <c r="E117" s="44">
        <f>VLOOKUP(B117,'Costo de Materiales'!B$4:D$350,3,FALSE)</f>
        <v>0.2153128591538109</v>
      </c>
      <c r="F117" s="206">
        <f>D117*E117</f>
        <v>2.1531285915381091E-3</v>
      </c>
      <c r="G117" s="305"/>
      <c r="H117" s="145"/>
      <c r="I117" s="53"/>
      <c r="J117" s="53"/>
      <c r="K117" s="58"/>
    </row>
    <row r="118" spans="1:12" s="3" customFormat="1" ht="12" customHeight="1" x14ac:dyDescent="0.2">
      <c r="A118" s="214"/>
      <c r="B118" s="24" t="s">
        <v>32</v>
      </c>
      <c r="C118" s="11" t="s">
        <v>20</v>
      </c>
      <c r="D118" s="11">
        <v>0.05</v>
      </c>
      <c r="E118" s="44">
        <f>VLOOKUP(B118,'Costo de Materiales'!B$4:D$350,3,FALSE)</f>
        <v>3.0395519188831519E-2</v>
      </c>
      <c r="F118" s="206">
        <f>D118*E118</f>
        <v>1.519775959441576E-3</v>
      </c>
      <c r="G118" s="305"/>
      <c r="H118" s="145"/>
      <c r="I118" s="53"/>
      <c r="J118" s="53"/>
      <c r="K118" s="58"/>
    </row>
    <row r="119" spans="1:12" s="3" customFormat="1" ht="12" customHeight="1" x14ac:dyDescent="0.2">
      <c r="A119" s="214"/>
      <c r="B119" s="24" t="s">
        <v>1</v>
      </c>
      <c r="C119" s="11" t="s">
        <v>33</v>
      </c>
      <c r="D119" s="11">
        <v>0.02</v>
      </c>
      <c r="E119" s="44">
        <f>VLOOKUP(B119,'Costo de Materiales'!B$4:D$350,3,FALSE)</f>
        <v>0.35090000000000005</v>
      </c>
      <c r="F119" s="206">
        <f>D119*E119</f>
        <v>7.0180000000000008E-3</v>
      </c>
      <c r="G119" s="305"/>
      <c r="H119" s="145"/>
      <c r="I119" s="53"/>
      <c r="J119" s="53"/>
      <c r="K119" s="58"/>
    </row>
    <row r="120" spans="1:12" s="3" customFormat="1" ht="12" customHeight="1" x14ac:dyDescent="0.2">
      <c r="A120" s="215"/>
      <c r="B120" s="25" t="s">
        <v>109</v>
      </c>
      <c r="C120" s="23" t="s">
        <v>11</v>
      </c>
      <c r="D120" s="103">
        <f>VLOOKUP(B120,'Costo de Materiales'!B$4:D$350,3,FALSE)</f>
        <v>0.28999999999999998</v>
      </c>
      <c r="E120" s="45">
        <f>F119</f>
        <v>7.0180000000000008E-3</v>
      </c>
      <c r="F120" s="208">
        <f>D120*E120</f>
        <v>2.0352199999999999E-3</v>
      </c>
      <c r="G120" s="305"/>
      <c r="H120" s="145"/>
      <c r="I120" s="53"/>
      <c r="J120" s="53"/>
      <c r="K120" s="58"/>
    </row>
    <row r="121" spans="1:12" ht="12" customHeight="1" x14ac:dyDescent="0.2">
      <c r="A121" s="209">
        <v>14</v>
      </c>
      <c r="B121" s="93" t="s">
        <v>394</v>
      </c>
      <c r="C121" s="95" t="s">
        <v>568</v>
      </c>
      <c r="D121" s="95"/>
      <c r="E121" s="94"/>
      <c r="F121" s="210">
        <f>SUM(F122:F130)</f>
        <v>2.2529501634070228</v>
      </c>
      <c r="G121" s="303"/>
      <c r="H121" s="83"/>
      <c r="I121" s="53"/>
      <c r="J121" s="53"/>
    </row>
    <row r="122" spans="1:12" ht="12" customHeight="1" x14ac:dyDescent="0.2">
      <c r="A122" s="211"/>
      <c r="B122" s="12" t="s">
        <v>395</v>
      </c>
      <c r="C122" s="11" t="s">
        <v>396</v>
      </c>
      <c r="D122" s="21">
        <v>0.45</v>
      </c>
      <c r="E122" s="48">
        <f>VLOOKUP(B122,'Costo de Materiales'!B$4:D$350,3,FALSE)</f>
        <v>0.6803886349260424</v>
      </c>
      <c r="F122" s="206">
        <f>D122*E122</f>
        <v>0.30617488571671908</v>
      </c>
      <c r="G122" s="302"/>
      <c r="H122" s="83"/>
      <c r="I122" s="53"/>
      <c r="J122" s="53"/>
    </row>
    <row r="123" spans="1:12" ht="12" customHeight="1" x14ac:dyDescent="0.2">
      <c r="A123" s="211"/>
      <c r="B123" s="12" t="s">
        <v>397</v>
      </c>
      <c r="C123" s="11" t="s">
        <v>396</v>
      </c>
      <c r="D123" s="21">
        <v>0.35</v>
      </c>
      <c r="E123" s="48">
        <f>VLOOKUP(B123,'Costo de Materiales'!B$4:D$350,3,FALSE)</f>
        <v>0.37598409938458799</v>
      </c>
      <c r="F123" s="206">
        <f t="shared" ref="F123:F130" si="11">D123*E123</f>
        <v>0.13159443478460578</v>
      </c>
      <c r="G123" s="302"/>
      <c r="H123" s="83"/>
      <c r="I123" s="53"/>
      <c r="J123" s="53"/>
    </row>
    <row r="124" spans="1:12" ht="12" customHeight="1" x14ac:dyDescent="0.2">
      <c r="A124" s="211"/>
      <c r="B124" s="12" t="s">
        <v>398</v>
      </c>
      <c r="C124" s="11" t="s">
        <v>396</v>
      </c>
      <c r="D124" s="21">
        <v>2.2999999999999998</v>
      </c>
      <c r="E124" s="48">
        <f>VLOOKUP(B124,'Costo de Materiales'!B$4:D$350,3,FALSE)</f>
        <v>0.30095952979499346</v>
      </c>
      <c r="F124" s="206">
        <f t="shared" si="11"/>
        <v>0.69220691852848493</v>
      </c>
      <c r="G124" s="302"/>
      <c r="H124" s="83"/>
      <c r="I124" s="53"/>
      <c r="J124" s="53"/>
    </row>
    <row r="125" spans="1:12" ht="12" customHeight="1" x14ac:dyDescent="0.2">
      <c r="A125" s="211"/>
      <c r="B125" s="10" t="s">
        <v>520</v>
      </c>
      <c r="C125" s="11" t="s">
        <v>18</v>
      </c>
      <c r="D125" s="21">
        <v>0.5</v>
      </c>
      <c r="E125" s="48">
        <f>VLOOKUP(B125,'Costo de Materiales'!B$4:D$350,3,FALSE)</f>
        <v>0.13932638720620305</v>
      </c>
      <c r="F125" s="206">
        <f t="shared" si="11"/>
        <v>6.9663193603101525E-2</v>
      </c>
      <c r="G125" s="302"/>
      <c r="H125" s="83"/>
      <c r="I125" s="53"/>
      <c r="J125" s="53"/>
    </row>
    <row r="126" spans="1:12" ht="12" customHeight="1" x14ac:dyDescent="0.2">
      <c r="A126" s="211"/>
      <c r="B126" s="16" t="s">
        <v>211</v>
      </c>
      <c r="C126" s="11" t="s">
        <v>11</v>
      </c>
      <c r="D126" s="21">
        <v>0.08</v>
      </c>
      <c r="E126" s="48">
        <f>SUM(F122:F125)</f>
        <v>1.1996394326329114</v>
      </c>
      <c r="F126" s="206">
        <f t="shared" si="11"/>
        <v>9.5971154610632908E-2</v>
      </c>
      <c r="G126" s="306"/>
      <c r="H126" s="146"/>
      <c r="I126" s="53"/>
      <c r="J126" s="53"/>
    </row>
    <row r="127" spans="1:12" ht="12" customHeight="1" x14ac:dyDescent="0.2">
      <c r="A127" s="211"/>
      <c r="B127" s="12" t="s">
        <v>111</v>
      </c>
      <c r="C127" s="11" t="s">
        <v>11</v>
      </c>
      <c r="D127" s="21">
        <v>0.1</v>
      </c>
      <c r="E127" s="48">
        <f>SUM(F122:F125)</f>
        <v>1.1996394326329114</v>
      </c>
      <c r="F127" s="206">
        <f t="shared" si="11"/>
        <v>0.11996394326329114</v>
      </c>
      <c r="G127" s="302"/>
      <c r="H127" s="83"/>
      <c r="I127" s="53"/>
      <c r="J127" s="53"/>
    </row>
    <row r="128" spans="1:12" ht="12" customHeight="1" x14ac:dyDescent="0.2">
      <c r="A128" s="211"/>
      <c r="B128" s="188" t="s">
        <v>399</v>
      </c>
      <c r="C128" s="35" t="s">
        <v>33</v>
      </c>
      <c r="D128" s="34">
        <v>0.5</v>
      </c>
      <c r="E128" s="48">
        <f>VLOOKUP(B128,'Costo de Materiales'!B$4:D$350,3,FALSE)</f>
        <v>0.94737658027676797</v>
      </c>
      <c r="F128" s="206">
        <f t="shared" si="11"/>
        <v>0.47368829013838398</v>
      </c>
      <c r="G128" s="302"/>
      <c r="H128" s="83"/>
      <c r="I128" s="53"/>
      <c r="J128" s="53"/>
    </row>
    <row r="129" spans="1:11" ht="12" customHeight="1" x14ac:dyDescent="0.2">
      <c r="A129" s="211"/>
      <c r="B129" s="188" t="s">
        <v>10</v>
      </c>
      <c r="C129" s="35" t="s">
        <v>33</v>
      </c>
      <c r="D129" s="35">
        <v>0.5</v>
      </c>
      <c r="E129" s="48">
        <f>VLOOKUP(B129,'Costo de Materiales'!B$4:D$350,3,FALSE)</f>
        <v>0.35088021491732146</v>
      </c>
      <c r="F129" s="206">
        <f t="shared" si="11"/>
        <v>0.17544010745866073</v>
      </c>
      <c r="G129" s="302"/>
      <c r="H129" s="83"/>
      <c r="I129" s="53"/>
      <c r="J129" s="53"/>
    </row>
    <row r="130" spans="1:11" ht="12" customHeight="1" x14ac:dyDescent="0.2">
      <c r="A130" s="212"/>
      <c r="B130" s="26" t="s">
        <v>109</v>
      </c>
      <c r="C130" s="189" t="s">
        <v>11</v>
      </c>
      <c r="D130" s="80">
        <f>VLOOKUP(B130,'Costo de Materiales'!B$4:D$350,3,FALSE)</f>
        <v>0.28999999999999998</v>
      </c>
      <c r="E130" s="51">
        <f>SUM(F128:F129)</f>
        <v>0.64912839759704477</v>
      </c>
      <c r="F130" s="208">
        <f t="shared" si="11"/>
        <v>0.18824723530314297</v>
      </c>
      <c r="G130" s="302"/>
      <c r="H130" s="83"/>
      <c r="I130" s="53"/>
      <c r="J130" s="53"/>
    </row>
    <row r="131" spans="1:11" s="3" customFormat="1" ht="12" customHeight="1" x14ac:dyDescent="0.2">
      <c r="A131" s="220">
        <v>15</v>
      </c>
      <c r="B131" s="93" t="s">
        <v>133</v>
      </c>
      <c r="C131" s="95" t="s">
        <v>568</v>
      </c>
      <c r="D131" s="95"/>
      <c r="E131" s="92"/>
      <c r="F131" s="210">
        <f>SUM(F132:F140)</f>
        <v>0.14290737975756981</v>
      </c>
      <c r="G131" s="303"/>
      <c r="H131" s="83"/>
      <c r="I131" s="53"/>
      <c r="J131" s="53"/>
      <c r="K131" s="58"/>
    </row>
    <row r="132" spans="1:11" s="3" customFormat="1" ht="12" customHeight="1" x14ac:dyDescent="0.2">
      <c r="A132" s="221"/>
      <c r="B132" s="15" t="s">
        <v>134</v>
      </c>
      <c r="C132" s="11" t="s">
        <v>38</v>
      </c>
      <c r="D132" s="20">
        <v>2.6</v>
      </c>
      <c r="E132" s="44">
        <f>VLOOKUP(B132,'Costo de Materiales'!B$4:D$350,3,FALSE)</f>
        <v>1.1291963280066528E-2</v>
      </c>
      <c r="F132" s="206">
        <f>D132*E132</f>
        <v>2.9359104528172971E-2</v>
      </c>
      <c r="G132" s="302"/>
      <c r="H132" s="83"/>
      <c r="I132" s="53"/>
      <c r="J132" s="53"/>
      <c r="K132" s="58"/>
    </row>
    <row r="133" spans="1:11" s="3" customFormat="1" ht="12" customHeight="1" x14ac:dyDescent="0.2">
      <c r="A133" s="221"/>
      <c r="B133" s="15" t="s">
        <v>138</v>
      </c>
      <c r="C133" s="20" t="s">
        <v>17</v>
      </c>
      <c r="D133" s="20">
        <v>0.5</v>
      </c>
      <c r="E133" s="44">
        <f>VLOOKUP(B133,'Costo de Materiales'!B$4:D$350,3,FALSE)</f>
        <v>7.4402554663150211E-2</v>
      </c>
      <c r="F133" s="206">
        <f t="shared" ref="F133:F140" si="12">D133*E133</f>
        <v>3.7201277331575106E-2</v>
      </c>
      <c r="G133" s="302"/>
      <c r="H133" s="83"/>
      <c r="I133" s="53"/>
      <c r="J133" s="53"/>
      <c r="K133" s="58"/>
    </row>
    <row r="134" spans="1:11" s="3" customFormat="1" ht="12" customHeight="1" x14ac:dyDescent="0.2">
      <c r="A134" s="221"/>
      <c r="B134" s="15" t="s">
        <v>135</v>
      </c>
      <c r="C134" s="20" t="s">
        <v>568</v>
      </c>
      <c r="D134" s="20">
        <v>5</v>
      </c>
      <c r="E134" s="44">
        <f>VLOOKUP(B134,'Costo de Materiales'!B$4:D$350,3,FALSE)</f>
        <v>4.8325775054522003E-3</v>
      </c>
      <c r="F134" s="206">
        <f t="shared" si="12"/>
        <v>2.4162887527261E-2</v>
      </c>
      <c r="G134" s="302"/>
      <c r="H134" s="83"/>
      <c r="I134" s="53"/>
      <c r="J134" s="53"/>
      <c r="K134" s="58"/>
    </row>
    <row r="135" spans="1:11" s="3" customFormat="1" ht="12" customHeight="1" x14ac:dyDescent="0.2">
      <c r="A135" s="221"/>
      <c r="B135" s="15" t="s">
        <v>136</v>
      </c>
      <c r="C135" s="20" t="s">
        <v>18</v>
      </c>
      <c r="D135" s="20">
        <v>7.0000000000000007E-2</v>
      </c>
      <c r="E135" s="44">
        <f>VLOOKUP(B135,'Costo de Materiales'!B$4:D$350,3,FALSE)</f>
        <v>0.14636489692255722</v>
      </c>
      <c r="F135" s="206">
        <f t="shared" si="12"/>
        <v>1.0245542784579006E-2</v>
      </c>
      <c r="G135" s="302"/>
      <c r="H135" s="83"/>
      <c r="I135" s="53"/>
      <c r="J135" s="53"/>
      <c r="K135" s="58"/>
    </row>
    <row r="136" spans="1:11" s="3" customFormat="1" ht="12" customHeight="1" x14ac:dyDescent="0.2">
      <c r="A136" s="221"/>
      <c r="B136" s="15" t="s">
        <v>137</v>
      </c>
      <c r="C136" s="11" t="s">
        <v>6</v>
      </c>
      <c r="D136" s="20">
        <v>0.03</v>
      </c>
      <c r="E136" s="44">
        <f>F338</f>
        <v>0.19399728650332876</v>
      </c>
      <c r="F136" s="206">
        <f t="shared" si="12"/>
        <v>5.8199185950998629E-3</v>
      </c>
      <c r="G136" s="302"/>
      <c r="H136" s="83"/>
      <c r="I136" s="53"/>
      <c r="J136" s="53"/>
      <c r="K136" s="58"/>
    </row>
    <row r="137" spans="1:11" s="3" customFormat="1" ht="12" customHeight="1" x14ac:dyDescent="0.2">
      <c r="A137" s="221"/>
      <c r="B137" s="15" t="s">
        <v>111</v>
      </c>
      <c r="C137" s="11" t="s">
        <v>11</v>
      </c>
      <c r="D137" s="20">
        <v>0.05</v>
      </c>
      <c r="E137" s="44">
        <f>SUM(F132:F136)</f>
        <v>0.10678873076668796</v>
      </c>
      <c r="F137" s="206">
        <f t="shared" si="12"/>
        <v>5.3394365383343982E-3</v>
      </c>
      <c r="G137" s="302"/>
      <c r="H137" s="83"/>
      <c r="I137" s="53"/>
      <c r="J137" s="53"/>
      <c r="K137" s="58"/>
    </row>
    <row r="138" spans="1:11" s="3" customFormat="1" ht="12" customHeight="1" x14ac:dyDescent="0.2">
      <c r="A138" s="221"/>
      <c r="B138" s="15" t="s">
        <v>83</v>
      </c>
      <c r="C138" s="20" t="s">
        <v>33</v>
      </c>
      <c r="D138" s="20">
        <v>0.02</v>
      </c>
      <c r="E138" s="44">
        <f>VLOOKUP(B138,'Costo de Materiales'!B$4:D$350,3,FALSE)</f>
        <v>0.84211251580157165</v>
      </c>
      <c r="F138" s="206">
        <f t="shared" si="12"/>
        <v>1.6842250316031433E-2</v>
      </c>
      <c r="G138" s="302"/>
      <c r="H138" s="83"/>
      <c r="I138" s="53"/>
      <c r="J138" s="53"/>
      <c r="K138" s="58"/>
    </row>
    <row r="139" spans="1:11" s="3" customFormat="1" ht="12" customHeight="1" x14ac:dyDescent="0.2">
      <c r="A139" s="221"/>
      <c r="B139" s="15" t="s">
        <v>10</v>
      </c>
      <c r="C139" s="20" t="s">
        <v>33</v>
      </c>
      <c r="D139" s="20">
        <v>0.02</v>
      </c>
      <c r="E139" s="44">
        <f>VLOOKUP(B139,'Costo de Materiales'!B$4:D$350,3,FALSE)</f>
        <v>0.35088021491732146</v>
      </c>
      <c r="F139" s="206">
        <f t="shared" si="12"/>
        <v>7.0176042983464294E-3</v>
      </c>
      <c r="G139" s="302"/>
      <c r="H139" s="83"/>
      <c r="I139" s="53"/>
      <c r="J139" s="53"/>
      <c r="K139" s="58"/>
    </row>
    <row r="140" spans="1:11" s="3" customFormat="1" ht="12" customHeight="1" x14ac:dyDescent="0.2">
      <c r="A140" s="222"/>
      <c r="B140" s="27" t="s">
        <v>93</v>
      </c>
      <c r="C140" s="28" t="s">
        <v>11</v>
      </c>
      <c r="D140" s="80">
        <f>VLOOKUP(B140,'Costo de Materiales'!B$4:D$350,3,FALSE)</f>
        <v>0.28999999999999998</v>
      </c>
      <c r="E140" s="45">
        <f>SUM(F138:F139)</f>
        <v>2.3859854614377861E-2</v>
      </c>
      <c r="F140" s="208">
        <f t="shared" si="12"/>
        <v>6.919357838169579E-3</v>
      </c>
      <c r="G140" s="302"/>
      <c r="H140" s="83"/>
      <c r="I140" s="53"/>
      <c r="J140" s="53"/>
      <c r="K140" s="58"/>
    </row>
    <row r="141" spans="1:11" s="39" customFormat="1" ht="12" customHeight="1" x14ac:dyDescent="0.2">
      <c r="A141" s="209">
        <v>16</v>
      </c>
      <c r="B141" s="88" t="s">
        <v>490</v>
      </c>
      <c r="C141" s="89" t="s">
        <v>568</v>
      </c>
      <c r="D141" s="89"/>
      <c r="E141" s="94"/>
      <c r="F141" s="210">
        <f>SUM(F142:F148)</f>
        <v>0.99521144747128787</v>
      </c>
      <c r="G141" s="303"/>
      <c r="H141" s="83"/>
      <c r="I141" s="53"/>
      <c r="J141" s="53"/>
      <c r="K141" s="68"/>
    </row>
    <row r="142" spans="1:11" s="39" customFormat="1" ht="12" customHeight="1" x14ac:dyDescent="0.2">
      <c r="A142" s="216"/>
      <c r="B142" s="10" t="s">
        <v>495</v>
      </c>
      <c r="C142" s="21" t="s">
        <v>17</v>
      </c>
      <c r="D142" s="21">
        <v>0.67</v>
      </c>
      <c r="E142" s="46">
        <f>F644</f>
        <v>0.44831324471256484</v>
      </c>
      <c r="F142" s="217">
        <f t="shared" ref="F142:F148" si="13">D142*E142</f>
        <v>0.30036987395741849</v>
      </c>
      <c r="G142" s="302"/>
      <c r="H142" s="83"/>
      <c r="I142" s="53"/>
      <c r="J142" s="53"/>
      <c r="K142" s="68"/>
    </row>
    <row r="143" spans="1:11" s="39" customFormat="1" ht="12" customHeight="1" x14ac:dyDescent="0.2">
      <c r="A143" s="216"/>
      <c r="B143" s="10" t="s">
        <v>492</v>
      </c>
      <c r="C143" s="21" t="s">
        <v>17</v>
      </c>
      <c r="D143" s="21">
        <v>0.4</v>
      </c>
      <c r="E143" s="46">
        <f>VLOOKUP(B143,'Costo de Materiales'!B$4:D$350,3,FALSE)</f>
        <v>0.27263392699075878</v>
      </c>
      <c r="F143" s="217">
        <f t="shared" si="13"/>
        <v>0.10905357079630351</v>
      </c>
      <c r="G143" s="302"/>
      <c r="H143" s="83"/>
      <c r="I143" s="53"/>
      <c r="J143" s="53"/>
      <c r="K143" s="68"/>
    </row>
    <row r="144" spans="1:11" s="39" customFormat="1" ht="12" customHeight="1" x14ac:dyDescent="0.2">
      <c r="A144" s="216"/>
      <c r="B144" s="10" t="s">
        <v>491</v>
      </c>
      <c r="C144" s="21" t="s">
        <v>17</v>
      </c>
      <c r="D144" s="21">
        <v>1.5</v>
      </c>
      <c r="E144" s="46">
        <f>VLOOKUP(B144,'Costo de Materiales'!B$4:D$350,3,FALSE)</f>
        <v>0.28650964458067102</v>
      </c>
      <c r="F144" s="217">
        <f t="shared" si="13"/>
        <v>0.42976446687100656</v>
      </c>
      <c r="G144" s="302"/>
      <c r="H144" s="83"/>
      <c r="I144" s="53"/>
      <c r="J144" s="53"/>
      <c r="K144" s="68"/>
    </row>
    <row r="145" spans="1:11" s="39" customFormat="1" ht="12" customHeight="1" x14ac:dyDescent="0.2">
      <c r="A145" s="216"/>
      <c r="B145" s="10" t="s">
        <v>111</v>
      </c>
      <c r="C145" s="21" t="s">
        <v>11</v>
      </c>
      <c r="D145" s="21">
        <v>0.05</v>
      </c>
      <c r="E145" s="46">
        <f>SUM(F142:F144)</f>
        <v>0.8391879116247285</v>
      </c>
      <c r="F145" s="217">
        <f t="shared" si="13"/>
        <v>4.1959395581236431E-2</v>
      </c>
      <c r="G145" s="302"/>
      <c r="H145" s="83"/>
      <c r="I145" s="53"/>
      <c r="J145" s="53"/>
      <c r="K145" s="68"/>
    </row>
    <row r="146" spans="1:11" s="39" customFormat="1" ht="12" customHeight="1" x14ac:dyDescent="0.2">
      <c r="A146" s="216"/>
      <c r="B146" s="10" t="s">
        <v>96</v>
      </c>
      <c r="C146" s="21" t="s">
        <v>33</v>
      </c>
      <c r="D146" s="21">
        <v>0.08</v>
      </c>
      <c r="E146" s="46">
        <f>VLOOKUP(B146,'Costo de Materiales'!B$4:D$350,3,FALSE)</f>
        <v>0.92983256953090243</v>
      </c>
      <c r="F146" s="217">
        <f t="shared" si="13"/>
        <v>7.4386605562472202E-2</v>
      </c>
      <c r="G146" s="302"/>
      <c r="H146" s="83"/>
      <c r="I146" s="53"/>
      <c r="J146" s="53"/>
      <c r="K146" s="68"/>
    </row>
    <row r="147" spans="1:11" s="39" customFormat="1" ht="12" customHeight="1" x14ac:dyDescent="0.2">
      <c r="A147" s="216"/>
      <c r="B147" s="10" t="s">
        <v>10</v>
      </c>
      <c r="C147" s="21" t="s">
        <v>33</v>
      </c>
      <c r="D147" s="21">
        <v>0.04</v>
      </c>
      <c r="E147" s="46">
        <f>VLOOKUP(B147,'Costo de Materiales'!B$4:D$350,3,FALSE)</f>
        <v>0.35088021491732146</v>
      </c>
      <c r="F147" s="217">
        <f t="shared" si="13"/>
        <v>1.4035208596692859E-2</v>
      </c>
      <c r="G147" s="302"/>
      <c r="H147" s="83"/>
      <c r="I147" s="53"/>
      <c r="J147" s="53"/>
      <c r="K147" s="68"/>
    </row>
    <row r="148" spans="1:11" s="39" customFormat="1" ht="12" customHeight="1" x14ac:dyDescent="0.2">
      <c r="A148" s="218"/>
      <c r="B148" s="22" t="s">
        <v>109</v>
      </c>
      <c r="C148" s="32" t="s">
        <v>11</v>
      </c>
      <c r="D148" s="80">
        <f>VLOOKUP(B148,'Costo de Materiales'!B$4:D$350,3,FALSE)</f>
        <v>0.28999999999999998</v>
      </c>
      <c r="E148" s="47">
        <f>SUM(F146:F147)</f>
        <v>8.8421814159165057E-2</v>
      </c>
      <c r="F148" s="219">
        <f t="shared" si="13"/>
        <v>2.5642326106157864E-2</v>
      </c>
      <c r="G148" s="302"/>
      <c r="H148" s="83"/>
      <c r="I148" s="53"/>
      <c r="J148" s="53"/>
      <c r="K148" s="68"/>
    </row>
    <row r="149" spans="1:11" s="1" customFormat="1" ht="12" customHeight="1" x14ac:dyDescent="0.2">
      <c r="A149" s="213">
        <v>17</v>
      </c>
      <c r="B149" s="88" t="s">
        <v>143</v>
      </c>
      <c r="C149" s="91" t="s">
        <v>17</v>
      </c>
      <c r="D149" s="91"/>
      <c r="E149" s="92"/>
      <c r="F149" s="210">
        <f>SUM(F150:F153)</f>
        <v>0.81441199720788049</v>
      </c>
      <c r="G149" s="303"/>
      <c r="H149" s="83"/>
      <c r="I149" s="53"/>
      <c r="J149" s="53"/>
      <c r="K149" s="62"/>
    </row>
    <row r="150" spans="1:11" s="3" customFormat="1" ht="12" customHeight="1" x14ac:dyDescent="0.2">
      <c r="A150" s="214"/>
      <c r="B150" s="12" t="s">
        <v>330</v>
      </c>
      <c r="C150" s="11" t="s">
        <v>17</v>
      </c>
      <c r="D150" s="11">
        <v>1</v>
      </c>
      <c r="E150" s="44">
        <f>VLOOKUP(B150,'Costo de Materiales'!B$4:D$350,3,FALSE)</f>
        <v>0.68940933067417187</v>
      </c>
      <c r="F150" s="206">
        <f>D150*E150</f>
        <v>0.68940933067417187</v>
      </c>
      <c r="G150" s="302"/>
      <c r="H150" s="83"/>
      <c r="I150" s="53"/>
      <c r="J150" s="53"/>
      <c r="K150" s="58"/>
    </row>
    <row r="151" spans="1:11" s="3" customFormat="1" ht="12" customHeight="1" x14ac:dyDescent="0.2">
      <c r="A151" s="214"/>
      <c r="B151" s="10" t="s">
        <v>111</v>
      </c>
      <c r="C151" s="11" t="s">
        <v>11</v>
      </c>
      <c r="D151" s="11">
        <v>0.05</v>
      </c>
      <c r="E151" s="44">
        <f>F150</f>
        <v>0.68940933067417187</v>
      </c>
      <c r="F151" s="206">
        <f>D151*E151</f>
        <v>3.4470466533708596E-2</v>
      </c>
      <c r="G151" s="302"/>
      <c r="H151" s="83"/>
      <c r="I151" s="53"/>
      <c r="J151" s="53"/>
      <c r="K151" s="58"/>
    </row>
    <row r="152" spans="1:11" s="3" customFormat="1" ht="12" customHeight="1" x14ac:dyDescent="0.2">
      <c r="A152" s="214"/>
      <c r="B152" s="10" t="s">
        <v>1</v>
      </c>
      <c r="C152" s="11" t="s">
        <v>33</v>
      </c>
      <c r="D152" s="11">
        <v>0.2</v>
      </c>
      <c r="E152" s="44">
        <f>VLOOKUP(B152,'Costo de Materiales'!B$4:D$350,3,FALSE)</f>
        <v>0.35090000000000005</v>
      </c>
      <c r="F152" s="206">
        <f>D152*E152</f>
        <v>7.0180000000000006E-2</v>
      </c>
      <c r="G152" s="302"/>
      <c r="H152" s="83"/>
      <c r="I152" s="53"/>
      <c r="J152" s="53"/>
      <c r="K152" s="58"/>
    </row>
    <row r="153" spans="1:11" s="3" customFormat="1" ht="12" customHeight="1" x14ac:dyDescent="0.2">
      <c r="A153" s="215"/>
      <c r="B153" s="22" t="s">
        <v>93</v>
      </c>
      <c r="C153" s="23" t="s">
        <v>11</v>
      </c>
      <c r="D153" s="80">
        <f>VLOOKUP(B153,'Costo de Materiales'!B$4:D$350,3,FALSE)</f>
        <v>0.28999999999999998</v>
      </c>
      <c r="E153" s="45">
        <f>F152</f>
        <v>7.0180000000000006E-2</v>
      </c>
      <c r="F153" s="208">
        <f>D153*E153</f>
        <v>2.0352200000000001E-2</v>
      </c>
      <c r="G153" s="302"/>
      <c r="H153" s="83"/>
      <c r="I153" s="53"/>
      <c r="J153" s="53"/>
      <c r="K153" s="58"/>
    </row>
    <row r="154" spans="1:11" s="1" customFormat="1" ht="12" customHeight="1" x14ac:dyDescent="0.2">
      <c r="A154" s="209">
        <v>18</v>
      </c>
      <c r="B154" s="88" t="s">
        <v>155</v>
      </c>
      <c r="C154" s="91" t="s">
        <v>38</v>
      </c>
      <c r="D154" s="91"/>
      <c r="E154" s="94"/>
      <c r="F154" s="210">
        <f>SUM(F155:F160)</f>
        <v>7.1736598688409758E-2</v>
      </c>
      <c r="G154" s="303"/>
      <c r="H154" s="83"/>
      <c r="I154" s="53"/>
      <c r="J154" s="53"/>
      <c r="K154" s="62"/>
    </row>
    <row r="155" spans="1:11" s="3" customFormat="1" ht="12" customHeight="1" x14ac:dyDescent="0.2">
      <c r="A155" s="205"/>
      <c r="B155" s="12" t="s">
        <v>285</v>
      </c>
      <c r="C155" s="11" t="s">
        <v>17</v>
      </c>
      <c r="D155" s="11">
        <v>1.2</v>
      </c>
      <c r="E155" s="44">
        <f>VLOOKUP(B155,'Costo de Materiales'!B$4:D$350,3,FALSE)</f>
        <v>3.1770608550695655E-2</v>
      </c>
      <c r="F155" s="206">
        <f t="shared" ref="F155:F160" si="14">D155*E155</f>
        <v>3.8124730260834787E-2</v>
      </c>
      <c r="G155" s="302"/>
      <c r="H155" s="83"/>
      <c r="I155" s="53"/>
      <c r="J155" s="53"/>
      <c r="K155" s="58"/>
    </row>
    <row r="156" spans="1:11" s="3" customFormat="1" ht="12" customHeight="1" x14ac:dyDescent="0.2">
      <c r="A156" s="205"/>
      <c r="B156" s="12" t="s">
        <v>74</v>
      </c>
      <c r="C156" s="11" t="s">
        <v>18</v>
      </c>
      <c r="D156" s="11">
        <v>0.02</v>
      </c>
      <c r="E156" s="44">
        <f>VLOOKUP(B156,'Costo de Materiales'!B$4:D$350,3,FALSE)</f>
        <v>4.4115212475514143E-2</v>
      </c>
      <c r="F156" s="206">
        <f t="shared" si="14"/>
        <v>8.8230424951028287E-4</v>
      </c>
      <c r="G156" s="302"/>
      <c r="H156" s="83"/>
      <c r="I156" s="53"/>
      <c r="J156" s="53"/>
      <c r="K156" s="58"/>
    </row>
    <row r="157" spans="1:11" s="3" customFormat="1" ht="12" customHeight="1" x14ac:dyDescent="0.2">
      <c r="A157" s="205"/>
      <c r="B157" s="12" t="s">
        <v>111</v>
      </c>
      <c r="C157" s="11" t="s">
        <v>11</v>
      </c>
      <c r="D157" s="11">
        <v>0.05</v>
      </c>
      <c r="E157" s="44">
        <f>SUM(F155:F156)</f>
        <v>3.9007034510345068E-2</v>
      </c>
      <c r="F157" s="206">
        <f t="shared" si="14"/>
        <v>1.9503517255172534E-3</v>
      </c>
      <c r="G157" s="302"/>
      <c r="H157" s="83"/>
      <c r="I157" s="53"/>
      <c r="J157" s="53"/>
      <c r="K157" s="58"/>
    </row>
    <row r="158" spans="1:11" s="3" customFormat="1" ht="12" customHeight="1" x14ac:dyDescent="0.2">
      <c r="A158" s="205"/>
      <c r="B158" s="12" t="s">
        <v>83</v>
      </c>
      <c r="C158" s="11" t="s">
        <v>33</v>
      </c>
      <c r="D158" s="11">
        <v>0.02</v>
      </c>
      <c r="E158" s="44">
        <f>VLOOKUP(B158,'Costo de Materiales'!B$4:D$350,3,FALSE)</f>
        <v>0.84211251580157165</v>
      </c>
      <c r="F158" s="206">
        <f t="shared" si="14"/>
        <v>1.6842250316031433E-2</v>
      </c>
      <c r="G158" s="302"/>
      <c r="H158" s="83"/>
      <c r="I158" s="53"/>
      <c r="J158" s="53"/>
      <c r="K158" s="58"/>
    </row>
    <row r="159" spans="1:11" s="3" customFormat="1" ht="12" customHeight="1" x14ac:dyDescent="0.2">
      <c r="A159" s="205"/>
      <c r="B159" s="12" t="s">
        <v>10</v>
      </c>
      <c r="C159" s="11" t="s">
        <v>33</v>
      </c>
      <c r="D159" s="11">
        <v>0.02</v>
      </c>
      <c r="E159" s="44">
        <f>VLOOKUP(B159,'Costo de Materiales'!B$4:D$350,3,FALSE)</f>
        <v>0.35088021491732146</v>
      </c>
      <c r="F159" s="206">
        <f t="shared" si="14"/>
        <v>7.0176042983464294E-3</v>
      </c>
      <c r="G159" s="302"/>
      <c r="H159" s="83"/>
      <c r="I159" s="53"/>
      <c r="J159" s="53"/>
      <c r="K159" s="58"/>
    </row>
    <row r="160" spans="1:11" s="3" customFormat="1" ht="12" customHeight="1" x14ac:dyDescent="0.2">
      <c r="A160" s="207"/>
      <c r="B160" s="26" t="s">
        <v>109</v>
      </c>
      <c r="C160" s="23" t="s">
        <v>11</v>
      </c>
      <c r="D160" s="80">
        <f>VLOOKUP(B160,'Costo de Materiales'!B$4:D$350,3,FALSE)</f>
        <v>0.28999999999999998</v>
      </c>
      <c r="E160" s="45">
        <f>SUM(F158:F159)</f>
        <v>2.3859854614377861E-2</v>
      </c>
      <c r="F160" s="208">
        <f t="shared" si="14"/>
        <v>6.919357838169579E-3</v>
      </c>
      <c r="G160" s="307"/>
      <c r="H160" s="83"/>
      <c r="I160" s="53"/>
      <c r="J160" s="53"/>
      <c r="K160" s="58"/>
    </row>
    <row r="161" spans="1:11" s="1" customFormat="1" ht="12" customHeight="1" x14ac:dyDescent="0.2">
      <c r="A161" s="209">
        <v>19</v>
      </c>
      <c r="B161" s="88" t="s">
        <v>357</v>
      </c>
      <c r="C161" s="91" t="s">
        <v>38</v>
      </c>
      <c r="D161" s="91"/>
      <c r="E161" s="94"/>
      <c r="F161" s="210">
        <f>SUM(F162:F167)</f>
        <v>5.8018686087708014E-2</v>
      </c>
      <c r="G161" s="302"/>
      <c r="H161" s="83"/>
      <c r="I161" s="53"/>
      <c r="J161" s="53"/>
      <c r="K161" s="62"/>
    </row>
    <row r="162" spans="1:11" s="3" customFormat="1" ht="12" customHeight="1" x14ac:dyDescent="0.2">
      <c r="A162" s="205"/>
      <c r="B162" s="10" t="s">
        <v>574</v>
      </c>
      <c r="C162" s="11" t="s">
        <v>17</v>
      </c>
      <c r="D162" s="11">
        <v>0.34</v>
      </c>
      <c r="E162" s="44">
        <f>VLOOKUP(B162,'Costo de Materiales'!B$4:D$350,3,FALSE)</f>
        <v>5.8868116779432496E-2</v>
      </c>
      <c r="F162" s="206">
        <f t="shared" ref="F162:F167" si="15">D162*E162</f>
        <v>2.001515970500705E-2</v>
      </c>
      <c r="G162" s="302"/>
      <c r="H162" s="83"/>
      <c r="I162" s="53"/>
      <c r="J162" s="53"/>
      <c r="K162" s="58"/>
    </row>
    <row r="163" spans="1:11" s="3" customFormat="1" ht="12" customHeight="1" x14ac:dyDescent="0.2">
      <c r="A163" s="205"/>
      <c r="B163" s="12" t="s">
        <v>618</v>
      </c>
      <c r="C163" s="11" t="s">
        <v>17</v>
      </c>
      <c r="D163" s="11">
        <v>8</v>
      </c>
      <c r="E163" s="44">
        <f>VLOOKUP(B163,'Costo de Materiales'!B$4:D$350,3,FALSE)</f>
        <v>7.4089951725037745E-4</v>
      </c>
      <c r="F163" s="206">
        <f t="shared" si="15"/>
        <v>5.9271961380030196E-3</v>
      </c>
      <c r="G163" s="302"/>
      <c r="H163" s="83"/>
      <c r="I163" s="53"/>
      <c r="J163" s="53"/>
      <c r="K163" s="58"/>
    </row>
    <row r="164" spans="1:11" s="3" customFormat="1" ht="12" customHeight="1" x14ac:dyDescent="0.2">
      <c r="A164" s="205"/>
      <c r="B164" s="12" t="s">
        <v>111</v>
      </c>
      <c r="C164" s="11" t="s">
        <v>11</v>
      </c>
      <c r="D164" s="11">
        <v>0.05</v>
      </c>
      <c r="E164" s="44">
        <f>SUM(F162:F163)</f>
        <v>2.5942355843010072E-2</v>
      </c>
      <c r="F164" s="206">
        <f t="shared" si="15"/>
        <v>1.2971177921505036E-3</v>
      </c>
      <c r="G164" s="302"/>
      <c r="H164" s="83"/>
      <c r="I164" s="53"/>
      <c r="J164" s="53"/>
      <c r="K164" s="58"/>
    </row>
    <row r="165" spans="1:11" s="3" customFormat="1" ht="12" customHeight="1" x14ac:dyDescent="0.2">
      <c r="A165" s="205"/>
      <c r="B165" s="12" t="s">
        <v>83</v>
      </c>
      <c r="C165" s="11" t="s">
        <v>33</v>
      </c>
      <c r="D165" s="11">
        <v>0.02</v>
      </c>
      <c r="E165" s="44">
        <f>VLOOKUP(B165,'Costo de Materiales'!B$4:D$350,3,FALSE)</f>
        <v>0.84211251580157165</v>
      </c>
      <c r="F165" s="206">
        <f t="shared" si="15"/>
        <v>1.6842250316031433E-2</v>
      </c>
      <c r="G165" s="302"/>
      <c r="H165" s="83"/>
      <c r="I165" s="53"/>
      <c r="J165" s="53"/>
      <c r="K165" s="58"/>
    </row>
    <row r="166" spans="1:11" s="3" customFormat="1" ht="12" customHeight="1" x14ac:dyDescent="0.2">
      <c r="A166" s="205"/>
      <c r="B166" s="12" t="s">
        <v>10</v>
      </c>
      <c r="C166" s="11" t="s">
        <v>33</v>
      </c>
      <c r="D166" s="11">
        <v>0.02</v>
      </c>
      <c r="E166" s="44">
        <f>VLOOKUP(B166,'Costo de Materiales'!B$4:D$350,3,FALSE)</f>
        <v>0.35088021491732146</v>
      </c>
      <c r="F166" s="206">
        <f t="shared" si="15"/>
        <v>7.0176042983464294E-3</v>
      </c>
      <c r="G166" s="302"/>
      <c r="H166" s="83"/>
      <c r="I166" s="53"/>
      <c r="J166" s="53"/>
      <c r="K166" s="58"/>
    </row>
    <row r="167" spans="1:11" s="3" customFormat="1" ht="12" customHeight="1" x14ac:dyDescent="0.2">
      <c r="A167" s="207"/>
      <c r="B167" s="26" t="s">
        <v>109</v>
      </c>
      <c r="C167" s="23" t="s">
        <v>11</v>
      </c>
      <c r="D167" s="80">
        <f>VLOOKUP(B167,'Costo de Materiales'!B$4:D$350,3,FALSE)</f>
        <v>0.28999999999999998</v>
      </c>
      <c r="E167" s="45">
        <f>SUM(F165:F166)</f>
        <v>2.3859854614377861E-2</v>
      </c>
      <c r="F167" s="206">
        <f t="shared" si="15"/>
        <v>6.919357838169579E-3</v>
      </c>
      <c r="G167" s="302"/>
      <c r="H167" s="83"/>
      <c r="I167" s="53"/>
      <c r="J167" s="53"/>
      <c r="K167" s="58"/>
    </row>
    <row r="168" spans="1:11" s="3" customFormat="1" ht="12" customHeight="1" x14ac:dyDescent="0.2">
      <c r="A168" s="220">
        <v>20</v>
      </c>
      <c r="B168" s="93" t="s">
        <v>132</v>
      </c>
      <c r="C168" s="91" t="s">
        <v>38</v>
      </c>
      <c r="D168" s="95"/>
      <c r="E168" s="92"/>
      <c r="F168" s="210">
        <f>SUM(F169:F170)</f>
        <v>4.5266100000000004E-2</v>
      </c>
      <c r="G168" s="303"/>
      <c r="H168" s="83"/>
      <c r="I168" s="53"/>
      <c r="J168" s="53"/>
      <c r="K168" s="58"/>
    </row>
    <row r="169" spans="1:11" s="3" customFormat="1" ht="12" customHeight="1" x14ac:dyDescent="0.2">
      <c r="A169" s="221"/>
      <c r="B169" s="15" t="s">
        <v>1</v>
      </c>
      <c r="C169" s="11" t="s">
        <v>33</v>
      </c>
      <c r="D169" s="20">
        <v>0.1</v>
      </c>
      <c r="E169" s="44">
        <f>VLOOKUP(B169,'Costo de Materiales'!B$4:D$350,3,FALSE)</f>
        <v>0.35090000000000005</v>
      </c>
      <c r="F169" s="206">
        <f>D169*E169</f>
        <v>3.5090000000000003E-2</v>
      </c>
      <c r="G169" s="302"/>
      <c r="H169" s="83"/>
      <c r="I169" s="53"/>
      <c r="J169" s="53"/>
      <c r="K169" s="58"/>
    </row>
    <row r="170" spans="1:11" s="3" customFormat="1" ht="12" customHeight="1" x14ac:dyDescent="0.2">
      <c r="A170" s="221"/>
      <c r="B170" s="15" t="s">
        <v>93</v>
      </c>
      <c r="C170" s="20" t="s">
        <v>11</v>
      </c>
      <c r="D170" s="80">
        <f>VLOOKUP(B170,'Costo de Materiales'!B$4:D$350,3,FALSE)</f>
        <v>0.28999999999999998</v>
      </c>
      <c r="E170" s="44">
        <f>F169</f>
        <v>3.5090000000000003E-2</v>
      </c>
      <c r="F170" s="208">
        <f>D170*E170</f>
        <v>1.01761E-2</v>
      </c>
      <c r="G170" s="307"/>
      <c r="H170" s="83"/>
      <c r="I170" s="53"/>
      <c r="J170" s="53"/>
      <c r="K170" s="58"/>
    </row>
    <row r="171" spans="1:11" s="1" customFormat="1" ht="12" customHeight="1" x14ac:dyDescent="0.2">
      <c r="A171" s="213">
        <v>21</v>
      </c>
      <c r="B171" s="88" t="s">
        <v>141</v>
      </c>
      <c r="C171" s="91" t="s">
        <v>6</v>
      </c>
      <c r="D171" s="91"/>
      <c r="E171" s="90"/>
      <c r="F171" s="247">
        <f>SUM(F172:F177)</f>
        <v>1.0870287232404294</v>
      </c>
      <c r="G171" s="302"/>
      <c r="H171" s="83"/>
      <c r="I171" s="53"/>
      <c r="J171" s="53"/>
      <c r="K171" s="62"/>
    </row>
    <row r="172" spans="1:11" s="3" customFormat="1" ht="12" customHeight="1" x14ac:dyDescent="0.2">
      <c r="A172" s="214"/>
      <c r="B172" s="10" t="s">
        <v>142</v>
      </c>
      <c r="C172" s="11" t="s">
        <v>6</v>
      </c>
      <c r="D172" s="11">
        <v>0.8</v>
      </c>
      <c r="E172" s="85">
        <f>VLOOKUP(B172,'Costo de Materiales'!B$4:D$350,3,FALSE)</f>
        <v>0.31100746322217132</v>
      </c>
      <c r="F172" s="248">
        <f t="shared" ref="F172:F177" si="16">D172*E172</f>
        <v>0.24880597057773707</v>
      </c>
      <c r="G172" s="302"/>
      <c r="H172" s="83"/>
      <c r="I172" s="53"/>
      <c r="J172" s="53"/>
      <c r="K172" s="58"/>
    </row>
    <row r="173" spans="1:11" s="3" customFormat="1" ht="12" customHeight="1" x14ac:dyDescent="0.2">
      <c r="A173" s="214"/>
      <c r="B173" s="10" t="s">
        <v>9</v>
      </c>
      <c r="C173" s="11" t="s">
        <v>6</v>
      </c>
      <c r="D173" s="11">
        <v>0.5</v>
      </c>
      <c r="E173" s="85">
        <f>VLOOKUP(B173,'Costo de Materiales'!B$4:D$350,3,FALSE)</f>
        <v>0.31100746322217132</v>
      </c>
      <c r="F173" s="248">
        <f t="shared" si="16"/>
        <v>0.15550373161108566</v>
      </c>
      <c r="G173" s="302"/>
      <c r="H173" s="83"/>
      <c r="I173" s="53"/>
      <c r="J173" s="53"/>
      <c r="K173" s="58"/>
    </row>
    <row r="174" spans="1:11" s="3" customFormat="1" ht="12" customHeight="1" x14ac:dyDescent="0.2">
      <c r="A174" s="214"/>
      <c r="B174" s="10" t="s">
        <v>8</v>
      </c>
      <c r="C174" s="11" t="s">
        <v>19</v>
      </c>
      <c r="D174" s="11">
        <v>1</v>
      </c>
      <c r="E174" s="85">
        <f>VLOOKUP(B174,'Costo de Materiales'!B$4:D$350,3,FALSE)</f>
        <v>0.15330562338073847</v>
      </c>
      <c r="F174" s="248">
        <f t="shared" si="16"/>
        <v>0.15330562338073847</v>
      </c>
      <c r="G174" s="302"/>
      <c r="H174" s="83"/>
      <c r="I174" s="53"/>
      <c r="J174" s="53"/>
      <c r="K174" s="58"/>
    </row>
    <row r="175" spans="1:11" s="3" customFormat="1" ht="12" customHeight="1" x14ac:dyDescent="0.2">
      <c r="A175" s="214"/>
      <c r="B175" s="10" t="s">
        <v>111</v>
      </c>
      <c r="C175" s="11" t="s">
        <v>11</v>
      </c>
      <c r="D175" s="11">
        <v>0.3</v>
      </c>
      <c r="E175" s="85">
        <f>SUM(F172:F174)</f>
        <v>0.55761532556956117</v>
      </c>
      <c r="F175" s="248">
        <f t="shared" si="16"/>
        <v>0.16728459767086834</v>
      </c>
      <c r="G175" s="302"/>
      <c r="H175" s="83"/>
      <c r="I175" s="53"/>
      <c r="J175" s="53"/>
      <c r="K175" s="58"/>
    </row>
    <row r="176" spans="1:11" s="3" customFormat="1" ht="12" customHeight="1" x14ac:dyDescent="0.2">
      <c r="A176" s="214"/>
      <c r="B176" s="10" t="s">
        <v>1</v>
      </c>
      <c r="C176" s="11" t="s">
        <v>33</v>
      </c>
      <c r="D176" s="11">
        <v>0.8</v>
      </c>
      <c r="E176" s="85">
        <f>VLOOKUP(B176,'Costo de Materiales'!B$4:D$350,3,FALSE)</f>
        <v>0.35090000000000005</v>
      </c>
      <c r="F176" s="248">
        <f t="shared" si="16"/>
        <v>0.28072000000000003</v>
      </c>
      <c r="G176" s="302"/>
      <c r="H176" s="83"/>
      <c r="I176" s="53"/>
      <c r="J176" s="53"/>
      <c r="K176" s="58"/>
    </row>
    <row r="177" spans="1:11" s="3" customFormat="1" ht="12" customHeight="1" x14ac:dyDescent="0.2">
      <c r="A177" s="214"/>
      <c r="B177" s="10" t="s">
        <v>109</v>
      </c>
      <c r="C177" s="11" t="s">
        <v>11</v>
      </c>
      <c r="D177" s="80">
        <f>VLOOKUP(B177,'Costo de Materiales'!B$4:D$350,3,FALSE)</f>
        <v>0.28999999999999998</v>
      </c>
      <c r="E177" s="85">
        <f>F176</f>
        <v>0.28072000000000003</v>
      </c>
      <c r="F177" s="249">
        <f t="shared" si="16"/>
        <v>8.1408800000000003E-2</v>
      </c>
      <c r="G177" s="302"/>
      <c r="H177" s="83"/>
      <c r="I177" s="53"/>
      <c r="J177" s="53"/>
      <c r="K177" s="58"/>
    </row>
    <row r="178" spans="1:11" s="14" customFormat="1" ht="12" customHeight="1" x14ac:dyDescent="0.2">
      <c r="A178" s="209">
        <v>22</v>
      </c>
      <c r="B178" s="88" t="s">
        <v>576</v>
      </c>
      <c r="C178" s="91" t="s">
        <v>18</v>
      </c>
      <c r="D178" s="91"/>
      <c r="E178" s="252"/>
      <c r="F178" s="247">
        <f>SUM(F179:F183)</f>
        <v>0.30651000623286562</v>
      </c>
      <c r="G178" s="308"/>
      <c r="H178" s="146"/>
      <c r="I178" s="53"/>
      <c r="J178" s="53"/>
      <c r="K178" s="63"/>
    </row>
    <row r="179" spans="1:11" s="41" customFormat="1" ht="12" customHeight="1" x14ac:dyDescent="0.2">
      <c r="A179" s="205"/>
      <c r="B179" s="12" t="s">
        <v>579</v>
      </c>
      <c r="C179" s="11" t="s">
        <v>18</v>
      </c>
      <c r="D179" s="11">
        <v>2.4700000000000002</v>
      </c>
      <c r="E179" s="85">
        <f>VLOOKUP(B179,'Costo de Materiales'!B$4:D$350,3,FALSE)</f>
        <v>0.10607773332441585</v>
      </c>
      <c r="F179" s="248">
        <f>D179*E179</f>
        <v>0.26201200131130714</v>
      </c>
      <c r="G179" s="306"/>
      <c r="H179" s="146"/>
      <c r="I179" s="53"/>
      <c r="J179" s="53"/>
      <c r="K179" s="66"/>
    </row>
    <row r="180" spans="1:11" s="41" customFormat="1" ht="12" customHeight="1" x14ac:dyDescent="0.2">
      <c r="A180" s="205"/>
      <c r="B180" s="10" t="s">
        <v>111</v>
      </c>
      <c r="C180" s="11" t="s">
        <v>11</v>
      </c>
      <c r="D180" s="11">
        <v>0.08</v>
      </c>
      <c r="E180" s="85">
        <f>SUM(F179:F179)</f>
        <v>0.26201200131130714</v>
      </c>
      <c r="F180" s="248">
        <f>D180*E180</f>
        <v>2.0960960104904572E-2</v>
      </c>
      <c r="G180" s="306"/>
      <c r="H180" s="146"/>
      <c r="I180" s="53"/>
      <c r="J180" s="53"/>
      <c r="K180" s="66"/>
    </row>
    <row r="181" spans="1:11" s="41" customFormat="1" ht="12" customHeight="1" x14ac:dyDescent="0.2">
      <c r="A181" s="205"/>
      <c r="B181" s="10" t="s">
        <v>166</v>
      </c>
      <c r="C181" s="11" t="s">
        <v>33</v>
      </c>
      <c r="D181" s="11">
        <v>0.02</v>
      </c>
      <c r="E181" s="85">
        <f>VLOOKUP(B181,'Costo de Materiales'!B$4:D$350,3,FALSE)</f>
        <v>0.56140834386771443</v>
      </c>
      <c r="F181" s="248">
        <f>D181*E181</f>
        <v>1.1228166877354289E-2</v>
      </c>
      <c r="G181" s="306"/>
      <c r="H181" s="146"/>
      <c r="I181" s="53"/>
      <c r="J181" s="53"/>
      <c r="K181" s="66"/>
    </row>
    <row r="182" spans="1:11" s="41" customFormat="1" ht="12" customHeight="1" x14ac:dyDescent="0.2">
      <c r="A182" s="205"/>
      <c r="B182" s="10" t="s">
        <v>10</v>
      </c>
      <c r="C182" s="11" t="s">
        <v>33</v>
      </c>
      <c r="D182" s="11">
        <v>0.02</v>
      </c>
      <c r="E182" s="85">
        <f>VLOOKUP(B182,'Costo de Materiales'!B$4:D$350,3,FALSE)</f>
        <v>0.35088021491732146</v>
      </c>
      <c r="F182" s="248">
        <f>D182*E182</f>
        <v>7.0176042983464294E-3</v>
      </c>
      <c r="G182" s="306"/>
      <c r="H182" s="146"/>
      <c r="I182" s="53"/>
      <c r="J182" s="53"/>
      <c r="K182" s="66"/>
    </row>
    <row r="183" spans="1:11" s="41" customFormat="1" ht="12" customHeight="1" x14ac:dyDescent="0.2">
      <c r="A183" s="205"/>
      <c r="B183" s="10" t="s">
        <v>109</v>
      </c>
      <c r="C183" s="11" t="s">
        <v>11</v>
      </c>
      <c r="D183" s="80">
        <f>VLOOKUP(B183,'Costo de Materiales'!B$4:D$350,3,FALSE)</f>
        <v>0.28999999999999998</v>
      </c>
      <c r="E183" s="85">
        <f>SUM(F181:F182)</f>
        <v>1.8245771175700719E-2</v>
      </c>
      <c r="F183" s="248">
        <f>D183*E183</f>
        <v>5.291273640953208E-3</v>
      </c>
      <c r="G183" s="309"/>
      <c r="H183" s="146"/>
      <c r="I183" s="53"/>
      <c r="J183" s="53"/>
      <c r="K183" s="66"/>
    </row>
    <row r="184" spans="1:11" s="14" customFormat="1" ht="12" customHeight="1" x14ac:dyDescent="0.2">
      <c r="A184" s="209">
        <v>23</v>
      </c>
      <c r="B184" s="88" t="s">
        <v>577</v>
      </c>
      <c r="C184" s="91" t="s">
        <v>18</v>
      </c>
      <c r="D184" s="91"/>
      <c r="E184" s="252"/>
      <c r="F184" s="247">
        <f>SUM(F185:F189)</f>
        <v>0.38547920476762249</v>
      </c>
      <c r="G184" s="306"/>
      <c r="H184" s="146"/>
      <c r="I184" s="53"/>
      <c r="J184" s="53"/>
      <c r="K184" s="63"/>
    </row>
    <row r="185" spans="1:11" s="41" customFormat="1" ht="12" customHeight="1" x14ac:dyDescent="0.2">
      <c r="A185" s="205"/>
      <c r="B185" s="12" t="s">
        <v>578</v>
      </c>
      <c r="C185" s="11" t="s">
        <v>18</v>
      </c>
      <c r="D185" s="11">
        <v>2.4700000000000002</v>
      </c>
      <c r="E185" s="85">
        <f>VLOOKUP(B185,'Costo de Materiales'!B$4:D$350,3,FALSE)</f>
        <v>0.13568082169402029</v>
      </c>
      <c r="F185" s="248">
        <f>D185*E185</f>
        <v>0.33513162958423015</v>
      </c>
      <c r="G185" s="306"/>
      <c r="H185" s="146"/>
      <c r="I185" s="53"/>
      <c r="J185" s="53"/>
      <c r="K185" s="66"/>
    </row>
    <row r="186" spans="1:11" s="41" customFormat="1" ht="12" customHeight="1" x14ac:dyDescent="0.2">
      <c r="A186" s="205"/>
      <c r="B186" s="10" t="s">
        <v>111</v>
      </c>
      <c r="C186" s="11" t="s">
        <v>11</v>
      </c>
      <c r="D186" s="11">
        <v>0.08</v>
      </c>
      <c r="E186" s="85">
        <f>SUM(F185:F185)</f>
        <v>0.33513162958423015</v>
      </c>
      <c r="F186" s="248">
        <f>D186*E186</f>
        <v>2.6810530366738413E-2</v>
      </c>
      <c r="G186" s="306"/>
      <c r="H186" s="146"/>
      <c r="I186" s="53"/>
      <c r="J186" s="53"/>
      <c r="K186" s="66"/>
    </row>
    <row r="187" spans="1:11" s="41" customFormat="1" ht="12" customHeight="1" x14ac:dyDescent="0.2">
      <c r="A187" s="205"/>
      <c r="B187" s="10" t="s">
        <v>166</v>
      </c>
      <c r="C187" s="11" t="s">
        <v>33</v>
      </c>
      <c r="D187" s="11">
        <v>0.02</v>
      </c>
      <c r="E187" s="85">
        <f>VLOOKUP(B187,'Costo de Materiales'!B$4:D$350,3,FALSE)</f>
        <v>0.56140834386771443</v>
      </c>
      <c r="F187" s="248">
        <f>D187*E187</f>
        <v>1.1228166877354289E-2</v>
      </c>
      <c r="G187" s="306"/>
      <c r="H187" s="146"/>
      <c r="I187" s="53"/>
      <c r="J187" s="53"/>
      <c r="K187" s="66"/>
    </row>
    <row r="188" spans="1:11" s="41" customFormat="1" ht="12" customHeight="1" x14ac:dyDescent="0.2">
      <c r="A188" s="205"/>
      <c r="B188" s="10" t="s">
        <v>10</v>
      </c>
      <c r="C188" s="11" t="s">
        <v>33</v>
      </c>
      <c r="D188" s="11">
        <v>0.02</v>
      </c>
      <c r="E188" s="85">
        <f>VLOOKUP(B188,'Costo de Materiales'!B$4:D$350,3,FALSE)</f>
        <v>0.35088021491732146</v>
      </c>
      <c r="F188" s="248">
        <f>D188*E188</f>
        <v>7.0176042983464294E-3</v>
      </c>
      <c r="G188" s="306"/>
      <c r="H188" s="146"/>
      <c r="I188" s="53"/>
      <c r="J188" s="53"/>
      <c r="K188" s="66"/>
    </row>
    <row r="189" spans="1:11" s="41" customFormat="1" ht="12" customHeight="1" x14ac:dyDescent="0.2">
      <c r="A189" s="205"/>
      <c r="B189" s="10" t="s">
        <v>109</v>
      </c>
      <c r="C189" s="11" t="s">
        <v>11</v>
      </c>
      <c r="D189" s="80">
        <f>VLOOKUP(B189,'Costo de Materiales'!B$4:D$350,3,FALSE)</f>
        <v>0.28999999999999998</v>
      </c>
      <c r="E189" s="85">
        <f>SUM(F187:F188)</f>
        <v>1.8245771175700719E-2</v>
      </c>
      <c r="F189" s="248">
        <f>D189*E189</f>
        <v>5.291273640953208E-3</v>
      </c>
      <c r="G189" s="306"/>
      <c r="H189" s="146"/>
      <c r="I189" s="53"/>
      <c r="J189" s="53"/>
      <c r="K189" s="66"/>
    </row>
    <row r="190" spans="1:11" s="14" customFormat="1" ht="12" customHeight="1" x14ac:dyDescent="0.2">
      <c r="A190" s="209">
        <v>24</v>
      </c>
      <c r="B190" s="88" t="s">
        <v>586</v>
      </c>
      <c r="C190" s="91" t="s">
        <v>18</v>
      </c>
      <c r="D190" s="91"/>
      <c r="E190" s="94"/>
      <c r="F190" s="210">
        <f>SUM(F191:F195)</f>
        <v>0.40924308395632242</v>
      </c>
      <c r="G190" s="308"/>
      <c r="H190" s="146"/>
      <c r="I190" s="53"/>
      <c r="J190" s="53"/>
      <c r="K190" s="63"/>
    </row>
    <row r="191" spans="1:11" s="41" customFormat="1" ht="12" customHeight="1" x14ac:dyDescent="0.2">
      <c r="A191" s="205"/>
      <c r="B191" s="12" t="s">
        <v>584</v>
      </c>
      <c r="C191" s="11" t="s">
        <v>18</v>
      </c>
      <c r="D191" s="11">
        <v>2.4700000000000002</v>
      </c>
      <c r="E191" s="44">
        <f>VLOOKUP(B191,'Costo de Materiales'!B$4:D$350,3,FALSE)</f>
        <v>0.14458915847191051</v>
      </c>
      <c r="F191" s="206">
        <f>D191*E191</f>
        <v>0.35713522142561899</v>
      </c>
      <c r="G191" s="306"/>
      <c r="H191" s="146"/>
      <c r="I191" s="53"/>
      <c r="J191" s="53"/>
      <c r="K191" s="66"/>
    </row>
    <row r="192" spans="1:11" s="41" customFormat="1" ht="12" customHeight="1" x14ac:dyDescent="0.2">
      <c r="A192" s="205"/>
      <c r="B192" s="10" t="s">
        <v>111</v>
      </c>
      <c r="C192" s="11" t="s">
        <v>11</v>
      </c>
      <c r="D192" s="11">
        <v>0.08</v>
      </c>
      <c r="E192" s="44">
        <f>SUM(F191:F191)</f>
        <v>0.35713522142561899</v>
      </c>
      <c r="F192" s="206">
        <f>D192*E192</f>
        <v>2.8570817714049519E-2</v>
      </c>
      <c r="G192" s="306"/>
      <c r="H192" s="146"/>
      <c r="I192" s="53"/>
      <c r="J192" s="53"/>
      <c r="K192" s="66"/>
    </row>
    <row r="193" spans="1:11" s="41" customFormat="1" ht="12" customHeight="1" x14ac:dyDescent="0.2">
      <c r="A193" s="205"/>
      <c r="B193" s="10" t="s">
        <v>166</v>
      </c>
      <c r="C193" s="11" t="s">
        <v>33</v>
      </c>
      <c r="D193" s="11">
        <v>0.02</v>
      </c>
      <c r="E193" s="44">
        <f>VLOOKUP(B193,'Costo de Materiales'!B$4:D$350,3,FALSE)</f>
        <v>0.56140834386771443</v>
      </c>
      <c r="F193" s="206">
        <f>D193*E193</f>
        <v>1.1228166877354289E-2</v>
      </c>
      <c r="G193" s="306"/>
      <c r="H193" s="146"/>
      <c r="I193" s="53"/>
      <c r="J193" s="53"/>
      <c r="K193" s="66"/>
    </row>
    <row r="194" spans="1:11" s="41" customFormat="1" ht="12" customHeight="1" x14ac:dyDescent="0.2">
      <c r="A194" s="205"/>
      <c r="B194" s="10" t="s">
        <v>10</v>
      </c>
      <c r="C194" s="11" t="s">
        <v>33</v>
      </c>
      <c r="D194" s="11">
        <v>0.02</v>
      </c>
      <c r="E194" s="44">
        <f>VLOOKUP(B194,'Costo de Materiales'!B$4:D$350,3,FALSE)</f>
        <v>0.35088021491732146</v>
      </c>
      <c r="F194" s="206">
        <f>D194*E194</f>
        <v>7.0176042983464294E-3</v>
      </c>
      <c r="G194" s="306"/>
      <c r="H194" s="146"/>
      <c r="I194" s="53"/>
      <c r="J194" s="53"/>
      <c r="K194" s="66"/>
    </row>
    <row r="195" spans="1:11" s="41" customFormat="1" ht="12" customHeight="1" x14ac:dyDescent="0.2">
      <c r="A195" s="207"/>
      <c r="B195" s="22" t="s">
        <v>109</v>
      </c>
      <c r="C195" s="23" t="s">
        <v>11</v>
      </c>
      <c r="D195" s="103">
        <f>VLOOKUP(B195,'Costo de Materiales'!B$4:D$350,3,FALSE)</f>
        <v>0.28999999999999998</v>
      </c>
      <c r="E195" s="45">
        <f>SUM(F193:F194)</f>
        <v>1.8245771175700719E-2</v>
      </c>
      <c r="F195" s="208">
        <f>D195*E195</f>
        <v>5.291273640953208E-3</v>
      </c>
      <c r="G195" s="309"/>
      <c r="H195" s="146"/>
      <c r="I195" s="53"/>
      <c r="J195" s="53"/>
      <c r="K195" s="66"/>
    </row>
    <row r="196" spans="1:11" s="14" customFormat="1" ht="12" customHeight="1" x14ac:dyDescent="0.2">
      <c r="A196" s="203">
        <v>25</v>
      </c>
      <c r="B196" s="138" t="s">
        <v>587</v>
      </c>
      <c r="C196" s="139" t="s">
        <v>18</v>
      </c>
      <c r="D196" s="139"/>
      <c r="E196" s="253"/>
      <c r="F196" s="254">
        <f>SUM(F197:F201)</f>
        <v>0.37655861011832581</v>
      </c>
      <c r="G196" s="306"/>
      <c r="H196" s="146"/>
      <c r="I196" s="53"/>
      <c r="J196" s="53"/>
      <c r="K196" s="63"/>
    </row>
    <row r="197" spans="1:11" s="41" customFormat="1" ht="12" customHeight="1" x14ac:dyDescent="0.2">
      <c r="A197" s="205"/>
      <c r="B197" s="12" t="s">
        <v>580</v>
      </c>
      <c r="C197" s="11" t="s">
        <v>18</v>
      </c>
      <c r="D197" s="11">
        <v>2.4700000000000002</v>
      </c>
      <c r="E197" s="85">
        <f>VLOOKUP(B197,'Costo de Materiales'!B$4:D$350,3,FALSE)</f>
        <v>0.13233676911893533</v>
      </c>
      <c r="F197" s="248">
        <f>D197*E197</f>
        <v>0.32687181972377027</v>
      </c>
      <c r="G197" s="306"/>
      <c r="H197" s="146"/>
      <c r="I197" s="53"/>
      <c r="J197" s="53"/>
      <c r="K197" s="66"/>
    </row>
    <row r="198" spans="1:11" s="41" customFormat="1" ht="12" customHeight="1" x14ac:dyDescent="0.2">
      <c r="A198" s="205"/>
      <c r="B198" s="10" t="s">
        <v>111</v>
      </c>
      <c r="C198" s="11" t="s">
        <v>11</v>
      </c>
      <c r="D198" s="11">
        <v>0.08</v>
      </c>
      <c r="E198" s="85">
        <f>SUM(F197:F197)</f>
        <v>0.32687181972377027</v>
      </c>
      <c r="F198" s="248">
        <f>D198*E198</f>
        <v>2.6149745577901621E-2</v>
      </c>
      <c r="G198" s="306"/>
      <c r="H198" s="146"/>
      <c r="I198" s="53"/>
      <c r="J198" s="53"/>
      <c r="K198" s="66"/>
    </row>
    <row r="199" spans="1:11" s="41" customFormat="1" ht="12" customHeight="1" x14ac:dyDescent="0.2">
      <c r="A199" s="205"/>
      <c r="B199" s="10" t="s">
        <v>166</v>
      </c>
      <c r="C199" s="11" t="s">
        <v>33</v>
      </c>
      <c r="D199" s="11">
        <v>0.02</v>
      </c>
      <c r="E199" s="85">
        <f>VLOOKUP(B199,'Costo de Materiales'!B$4:D$350,3,FALSE)</f>
        <v>0.56140834386771443</v>
      </c>
      <c r="F199" s="248">
        <f>D199*E199</f>
        <v>1.1228166877354289E-2</v>
      </c>
      <c r="G199" s="306"/>
      <c r="H199" s="146"/>
      <c r="I199" s="53"/>
      <c r="J199" s="53"/>
      <c r="K199" s="66"/>
    </row>
    <row r="200" spans="1:11" s="41" customFormat="1" ht="12" customHeight="1" x14ac:dyDescent="0.2">
      <c r="A200" s="205"/>
      <c r="B200" s="10" t="s">
        <v>10</v>
      </c>
      <c r="C200" s="11" t="s">
        <v>33</v>
      </c>
      <c r="D200" s="11">
        <v>0.02</v>
      </c>
      <c r="E200" s="85">
        <f>VLOOKUP(B200,'Costo de Materiales'!B$4:D$350,3,FALSE)</f>
        <v>0.35088021491732146</v>
      </c>
      <c r="F200" s="248">
        <f>D200*E200</f>
        <v>7.0176042983464294E-3</v>
      </c>
      <c r="G200" s="306"/>
      <c r="H200" s="146"/>
      <c r="I200" s="53"/>
      <c r="J200" s="53"/>
      <c r="K200" s="66"/>
    </row>
    <row r="201" spans="1:11" s="41" customFormat="1" ht="12" customHeight="1" x14ac:dyDescent="0.2">
      <c r="A201" s="205"/>
      <c r="B201" s="10" t="s">
        <v>109</v>
      </c>
      <c r="C201" s="11" t="s">
        <v>11</v>
      </c>
      <c r="D201" s="80">
        <f>VLOOKUP(B201,'Costo de Materiales'!B$4:D$350,3,FALSE)</f>
        <v>0.28999999999999998</v>
      </c>
      <c r="E201" s="85">
        <f>SUM(F199:F200)</f>
        <v>1.8245771175700719E-2</v>
      </c>
      <c r="F201" s="248">
        <f>D201*E201</f>
        <v>5.291273640953208E-3</v>
      </c>
      <c r="G201" s="306"/>
      <c r="H201" s="146"/>
      <c r="I201" s="53"/>
      <c r="J201" s="53"/>
      <c r="K201" s="66"/>
    </row>
    <row r="202" spans="1:11" s="14" customFormat="1" ht="12" customHeight="1" x14ac:dyDescent="0.2">
      <c r="A202" s="209">
        <v>26</v>
      </c>
      <c r="B202" s="88" t="s">
        <v>588</v>
      </c>
      <c r="C202" s="91" t="s">
        <v>18</v>
      </c>
      <c r="D202" s="91"/>
      <c r="E202" s="94"/>
      <c r="F202" s="210">
        <f>SUM(F203:F207)</f>
        <v>0.47903983134439804</v>
      </c>
      <c r="G202" s="308"/>
      <c r="H202" s="146"/>
      <c r="I202" s="53"/>
      <c r="J202" s="53"/>
      <c r="K202" s="63"/>
    </row>
    <row r="203" spans="1:11" s="41" customFormat="1" ht="12" customHeight="1" x14ac:dyDescent="0.2">
      <c r="A203" s="205"/>
      <c r="B203" s="12" t="s">
        <v>582</v>
      </c>
      <c r="C203" s="11" t="s">
        <v>18</v>
      </c>
      <c r="D203" s="11">
        <v>2.4700000000000002</v>
      </c>
      <c r="E203" s="44">
        <f>VLOOKUP(B203,'Costo de Materiales'!B$4:D$350,3,FALSE)</f>
        <v>0.17075378112451045</v>
      </c>
      <c r="F203" s="206">
        <f>D203*E203</f>
        <v>0.42176183937754086</v>
      </c>
      <c r="G203" s="306"/>
      <c r="H203" s="146"/>
      <c r="I203" s="53"/>
      <c r="J203" s="53"/>
      <c r="K203" s="66"/>
    </row>
    <row r="204" spans="1:11" s="41" customFormat="1" ht="12" customHeight="1" x14ac:dyDescent="0.2">
      <c r="A204" s="205"/>
      <c r="B204" s="10" t="s">
        <v>111</v>
      </c>
      <c r="C204" s="11" t="s">
        <v>11</v>
      </c>
      <c r="D204" s="11">
        <v>0.08</v>
      </c>
      <c r="E204" s="44">
        <f>SUM(F203:F203)</f>
        <v>0.42176183937754086</v>
      </c>
      <c r="F204" s="206">
        <f>D204*E204</f>
        <v>3.3740947150203267E-2</v>
      </c>
      <c r="G204" s="306"/>
      <c r="H204" s="146"/>
      <c r="I204" s="53"/>
      <c r="J204" s="53"/>
      <c r="K204" s="66"/>
    </row>
    <row r="205" spans="1:11" s="41" customFormat="1" ht="12" customHeight="1" x14ac:dyDescent="0.2">
      <c r="A205" s="205"/>
      <c r="B205" s="10" t="s">
        <v>166</v>
      </c>
      <c r="C205" s="11" t="s">
        <v>33</v>
      </c>
      <c r="D205" s="11">
        <v>0.02</v>
      </c>
      <c r="E205" s="44">
        <f>VLOOKUP(B205,'Costo de Materiales'!B$4:D$350,3,FALSE)</f>
        <v>0.56140834386771443</v>
      </c>
      <c r="F205" s="206">
        <f>D205*E205</f>
        <v>1.1228166877354289E-2</v>
      </c>
      <c r="G205" s="306"/>
      <c r="H205" s="146"/>
      <c r="I205" s="53"/>
      <c r="J205" s="53"/>
      <c r="K205" s="66"/>
    </row>
    <row r="206" spans="1:11" s="41" customFormat="1" ht="12" customHeight="1" x14ac:dyDescent="0.2">
      <c r="A206" s="205"/>
      <c r="B206" s="10" t="s">
        <v>10</v>
      </c>
      <c r="C206" s="11" t="s">
        <v>33</v>
      </c>
      <c r="D206" s="11">
        <v>0.02</v>
      </c>
      <c r="E206" s="44">
        <f>VLOOKUP(B206,'Costo de Materiales'!B$4:D$350,3,FALSE)</f>
        <v>0.35088021491732146</v>
      </c>
      <c r="F206" s="206">
        <f>D206*E206</f>
        <v>7.0176042983464294E-3</v>
      </c>
      <c r="G206" s="306"/>
      <c r="H206" s="146"/>
      <c r="I206" s="53"/>
      <c r="J206" s="53"/>
      <c r="K206" s="66"/>
    </row>
    <row r="207" spans="1:11" s="41" customFormat="1" ht="12" customHeight="1" x14ac:dyDescent="0.2">
      <c r="A207" s="207"/>
      <c r="B207" s="22" t="s">
        <v>109</v>
      </c>
      <c r="C207" s="23" t="s">
        <v>11</v>
      </c>
      <c r="D207" s="103">
        <f>VLOOKUP(B207,'Costo de Materiales'!B$4:D$350,3,FALSE)</f>
        <v>0.28999999999999998</v>
      </c>
      <c r="E207" s="45">
        <f>SUM(F205:F206)</f>
        <v>1.8245771175700719E-2</v>
      </c>
      <c r="F207" s="208">
        <f>D207*E207</f>
        <v>5.291273640953208E-3</v>
      </c>
      <c r="G207" s="309"/>
      <c r="H207" s="146"/>
      <c r="I207" s="53"/>
      <c r="J207" s="53"/>
      <c r="K207" s="66"/>
    </row>
    <row r="208" spans="1:11" s="14" customFormat="1" ht="12" customHeight="1" x14ac:dyDescent="0.2">
      <c r="A208" s="203">
        <v>27</v>
      </c>
      <c r="B208" s="138" t="s">
        <v>589</v>
      </c>
      <c r="C208" s="139" t="s">
        <v>18</v>
      </c>
      <c r="D208" s="139"/>
      <c r="E208" s="253"/>
      <c r="F208" s="254">
        <f>SUM(F209:F213)</f>
        <v>0.55085955511469131</v>
      </c>
      <c r="G208" s="306"/>
      <c r="H208" s="146"/>
      <c r="I208" s="53"/>
      <c r="J208" s="53"/>
      <c r="K208" s="63"/>
    </row>
    <row r="209" spans="1:11" s="41" customFormat="1" ht="12" customHeight="1" x14ac:dyDescent="0.2">
      <c r="A209" s="205"/>
      <c r="B209" s="12" t="s">
        <v>583</v>
      </c>
      <c r="C209" s="11" t="s">
        <v>18</v>
      </c>
      <c r="D209" s="11">
        <v>2.4700000000000002</v>
      </c>
      <c r="E209" s="85">
        <f>VLOOKUP(B209,'Costo de Materiales'!B$4:D$350,3,FALSE)</f>
        <v>0.19767675449768982</v>
      </c>
      <c r="F209" s="248">
        <f>D209*E209</f>
        <v>0.48826158360929389</v>
      </c>
      <c r="G209" s="306"/>
      <c r="H209" s="146"/>
      <c r="I209" s="53"/>
      <c r="J209" s="53"/>
      <c r="K209" s="66"/>
    </row>
    <row r="210" spans="1:11" s="41" customFormat="1" ht="12" customHeight="1" x14ac:dyDescent="0.2">
      <c r="A210" s="205"/>
      <c r="B210" s="10" t="s">
        <v>111</v>
      </c>
      <c r="C210" s="11" t="s">
        <v>11</v>
      </c>
      <c r="D210" s="11">
        <v>0.08</v>
      </c>
      <c r="E210" s="85">
        <f>SUM(F209:F209)</f>
        <v>0.48826158360929389</v>
      </c>
      <c r="F210" s="248">
        <f>D210*E210</f>
        <v>3.9060926688743509E-2</v>
      </c>
      <c r="G210" s="306"/>
      <c r="H210" s="146"/>
      <c r="I210" s="53"/>
      <c r="J210" s="53"/>
      <c r="K210" s="66"/>
    </row>
    <row r="211" spans="1:11" s="41" customFormat="1" ht="12" customHeight="1" x14ac:dyDescent="0.2">
      <c r="A211" s="205"/>
      <c r="B211" s="10" t="s">
        <v>166</v>
      </c>
      <c r="C211" s="11" t="s">
        <v>33</v>
      </c>
      <c r="D211" s="11">
        <v>0.02</v>
      </c>
      <c r="E211" s="85">
        <f>VLOOKUP(B211,'Costo de Materiales'!B$4:D$350,3,FALSE)</f>
        <v>0.56140834386771443</v>
      </c>
      <c r="F211" s="248">
        <f>D211*E211</f>
        <v>1.1228166877354289E-2</v>
      </c>
      <c r="G211" s="306"/>
      <c r="H211" s="146"/>
      <c r="I211" s="53"/>
      <c r="J211" s="53"/>
      <c r="K211" s="66"/>
    </row>
    <row r="212" spans="1:11" s="41" customFormat="1" ht="12" customHeight="1" x14ac:dyDescent="0.2">
      <c r="A212" s="205"/>
      <c r="B212" s="10" t="s">
        <v>10</v>
      </c>
      <c r="C212" s="11" t="s">
        <v>33</v>
      </c>
      <c r="D212" s="11">
        <v>0.02</v>
      </c>
      <c r="E212" s="85">
        <f>VLOOKUP(B212,'Costo de Materiales'!B$4:D$350,3,FALSE)</f>
        <v>0.35088021491732146</v>
      </c>
      <c r="F212" s="248">
        <f>D212*E212</f>
        <v>7.0176042983464294E-3</v>
      </c>
      <c r="G212" s="306"/>
      <c r="H212" s="146"/>
      <c r="I212" s="53"/>
      <c r="J212" s="53"/>
      <c r="K212" s="66"/>
    </row>
    <row r="213" spans="1:11" s="41" customFormat="1" ht="12" customHeight="1" x14ac:dyDescent="0.2">
      <c r="A213" s="207"/>
      <c r="B213" s="22" t="s">
        <v>109</v>
      </c>
      <c r="C213" s="23" t="s">
        <v>11</v>
      </c>
      <c r="D213" s="103">
        <f>VLOOKUP(B213,'Costo de Materiales'!B$4:D$350,3,FALSE)</f>
        <v>0.28999999999999998</v>
      </c>
      <c r="E213" s="86">
        <f>SUM(F211:F212)</f>
        <v>1.8245771175700719E-2</v>
      </c>
      <c r="F213" s="249">
        <f>D213*E213</f>
        <v>5.291273640953208E-3</v>
      </c>
      <c r="G213" s="306"/>
      <c r="H213" s="146"/>
      <c r="I213" s="53"/>
      <c r="J213" s="53"/>
      <c r="K213" s="66"/>
    </row>
    <row r="214" spans="1:11" s="1" customFormat="1" ht="12" customHeight="1" x14ac:dyDescent="0.2">
      <c r="A214" s="209">
        <v>28</v>
      </c>
      <c r="B214" s="88" t="s">
        <v>249</v>
      </c>
      <c r="C214" s="91" t="s">
        <v>38</v>
      </c>
      <c r="D214" s="88"/>
      <c r="E214" s="94"/>
      <c r="F214" s="210">
        <f>SUM(F215:F220)</f>
        <v>0.30936371700808907</v>
      </c>
      <c r="G214" s="303"/>
      <c r="H214" s="83"/>
      <c r="I214" s="53"/>
      <c r="J214" s="53"/>
      <c r="K214" s="62"/>
    </row>
    <row r="215" spans="1:11" s="3" customFormat="1" ht="12" customHeight="1" x14ac:dyDescent="0.2">
      <c r="A215" s="205"/>
      <c r="B215" s="12" t="s">
        <v>471</v>
      </c>
      <c r="C215" s="11" t="s">
        <v>17</v>
      </c>
      <c r="D215" s="21">
        <v>3.3</v>
      </c>
      <c r="E215" s="44">
        <f>VLOOKUP(B215,'Costo de Materiales'!B$4:D$350,3,FALSE)</f>
        <v>4.2966877226693817E-2</v>
      </c>
      <c r="F215" s="206">
        <f t="shared" ref="F215:F220" si="17">D215*E215</f>
        <v>0.14179069484808959</v>
      </c>
      <c r="G215" s="302"/>
      <c r="H215" s="83"/>
      <c r="I215" s="53"/>
      <c r="J215" s="53"/>
      <c r="K215" s="58"/>
    </row>
    <row r="216" spans="1:11" s="3" customFormat="1" ht="12" customHeight="1" x14ac:dyDescent="0.2">
      <c r="A216" s="205"/>
      <c r="B216" s="12" t="s">
        <v>72</v>
      </c>
      <c r="C216" s="11" t="s">
        <v>18</v>
      </c>
      <c r="D216" s="11">
        <v>0.11</v>
      </c>
      <c r="E216" s="44">
        <f>VLOOKUP(B216,'Costo de Materiales'!B$4:D$350,3,FALSE)</f>
        <v>5.7033984024742801E-2</v>
      </c>
      <c r="F216" s="206">
        <f t="shared" si="17"/>
        <v>6.2737382427217082E-3</v>
      </c>
      <c r="G216" s="302"/>
      <c r="H216" s="83"/>
      <c r="I216" s="53"/>
      <c r="J216" s="53"/>
      <c r="K216" s="58"/>
    </row>
    <row r="217" spans="1:11" s="3" customFormat="1" ht="12" customHeight="1" x14ac:dyDescent="0.2">
      <c r="A217" s="205"/>
      <c r="B217" s="10" t="s">
        <v>111</v>
      </c>
      <c r="C217" s="11" t="s">
        <v>11</v>
      </c>
      <c r="D217" s="11">
        <v>0.05</v>
      </c>
      <c r="E217" s="44">
        <f>SUM(F215:F216)</f>
        <v>0.1480644330908113</v>
      </c>
      <c r="F217" s="206">
        <f t="shared" si="17"/>
        <v>7.4032216545405656E-3</v>
      </c>
      <c r="G217" s="302"/>
      <c r="H217" s="83"/>
      <c r="I217" s="53"/>
      <c r="J217" s="53"/>
      <c r="K217" s="58"/>
    </row>
    <row r="218" spans="1:11" s="3" customFormat="1" ht="12" customHeight="1" x14ac:dyDescent="0.2">
      <c r="A218" s="205"/>
      <c r="B218" s="10" t="s">
        <v>83</v>
      </c>
      <c r="C218" s="11" t="s">
        <v>33</v>
      </c>
      <c r="D218" s="11">
        <v>0.1</v>
      </c>
      <c r="E218" s="44">
        <f>VLOOKUP(B218,'Costo de Materiales'!B$4:D$350,3,FALSE)</f>
        <v>0.84211251580157165</v>
      </c>
      <c r="F218" s="206">
        <f t="shared" si="17"/>
        <v>8.4211251580157173E-2</v>
      </c>
      <c r="G218" s="302"/>
      <c r="H218" s="83"/>
      <c r="I218" s="53"/>
      <c r="J218" s="53"/>
      <c r="K218" s="58"/>
    </row>
    <row r="219" spans="1:11" s="3" customFormat="1" ht="12" customHeight="1" x14ac:dyDescent="0.2">
      <c r="A219" s="205"/>
      <c r="B219" s="10" t="s">
        <v>10</v>
      </c>
      <c r="C219" s="11" t="s">
        <v>33</v>
      </c>
      <c r="D219" s="11">
        <v>0.1</v>
      </c>
      <c r="E219" s="44">
        <f>VLOOKUP(B219,'Costo de Materiales'!B$4:D$350,3,FALSE)</f>
        <v>0.35088021491732146</v>
      </c>
      <c r="F219" s="206">
        <f t="shared" si="17"/>
        <v>3.5088021491732145E-2</v>
      </c>
      <c r="G219" s="302"/>
      <c r="H219" s="83"/>
      <c r="I219" s="53"/>
      <c r="J219" s="53"/>
      <c r="K219" s="58"/>
    </row>
    <row r="220" spans="1:11" s="3" customFormat="1" ht="12" customHeight="1" x14ac:dyDescent="0.2">
      <c r="A220" s="207"/>
      <c r="B220" s="22" t="s">
        <v>93</v>
      </c>
      <c r="C220" s="23" t="s">
        <v>11</v>
      </c>
      <c r="D220" s="80">
        <f>VLOOKUP(B220,'Costo de Materiales'!B$4:D$350,3,FALSE)</f>
        <v>0.28999999999999998</v>
      </c>
      <c r="E220" s="45">
        <f>SUM(F218:F219)</f>
        <v>0.11929927307188931</v>
      </c>
      <c r="F220" s="208">
        <f t="shared" si="17"/>
        <v>3.4596789190847896E-2</v>
      </c>
      <c r="G220" s="307"/>
      <c r="H220" s="83"/>
      <c r="I220" s="53"/>
      <c r="J220" s="53"/>
      <c r="K220" s="58"/>
    </row>
    <row r="221" spans="1:11" s="1" customFormat="1" ht="12" customHeight="1" x14ac:dyDescent="0.2">
      <c r="A221" s="209">
        <v>29</v>
      </c>
      <c r="B221" s="93" t="s">
        <v>169</v>
      </c>
      <c r="C221" s="91" t="s">
        <v>38</v>
      </c>
      <c r="D221" s="95"/>
      <c r="E221" s="94"/>
      <c r="F221" s="210">
        <f>SUM(F222:F228)</f>
        <v>0.18607983226649799</v>
      </c>
      <c r="G221" s="302"/>
      <c r="H221" s="83"/>
      <c r="I221" s="54"/>
      <c r="J221" s="54"/>
      <c r="K221" s="70"/>
    </row>
    <row r="222" spans="1:11" s="3" customFormat="1" ht="12" customHeight="1" x14ac:dyDescent="0.2">
      <c r="A222" s="205"/>
      <c r="B222" s="17" t="s">
        <v>287</v>
      </c>
      <c r="C222" s="11" t="s">
        <v>17</v>
      </c>
      <c r="D222" s="20">
        <v>0.76</v>
      </c>
      <c r="E222" s="44">
        <f>VLOOKUP(B222,'Costo de Materiales'!B$4:D$350,3,FALSE)</f>
        <v>9.5694604068360403E-2</v>
      </c>
      <c r="F222" s="206">
        <f t="shared" ref="F222:F228" si="18">D222*E222</f>
        <v>7.2727899091953901E-2</v>
      </c>
      <c r="G222" s="302"/>
      <c r="H222" s="83"/>
      <c r="I222" s="54"/>
      <c r="J222" s="54"/>
      <c r="K222" s="71"/>
    </row>
    <row r="223" spans="1:11" s="3" customFormat="1" ht="12" customHeight="1" x14ac:dyDescent="0.2">
      <c r="A223" s="205"/>
      <c r="B223" s="15" t="s">
        <v>331</v>
      </c>
      <c r="C223" s="11" t="s">
        <v>17</v>
      </c>
      <c r="D223" s="20">
        <v>3.3</v>
      </c>
      <c r="E223" s="44">
        <f>VLOOKUP(B223,'Costo de Materiales'!B$4:D$350,3,FALSE)</f>
        <v>3.9713260688369568E-3</v>
      </c>
      <c r="F223" s="206">
        <f t="shared" si="18"/>
        <v>1.3105376027161957E-2</v>
      </c>
      <c r="G223" s="302"/>
      <c r="H223" s="83"/>
      <c r="I223" s="54"/>
      <c r="J223" s="54"/>
      <c r="K223" s="71"/>
    </row>
    <row r="224" spans="1:11" s="3" customFormat="1" ht="12" customHeight="1" x14ac:dyDescent="0.2">
      <c r="A224" s="205"/>
      <c r="B224" s="15" t="s">
        <v>332</v>
      </c>
      <c r="C224" s="11" t="s">
        <v>17</v>
      </c>
      <c r="D224" s="20">
        <v>4</v>
      </c>
      <c r="E224" s="44">
        <f>VLOOKUP(B224,'Costo de Materiales'!B$4:D$350,3,FALSE)</f>
        <v>8.6125143661524358E-4</v>
      </c>
      <c r="F224" s="206">
        <f t="shared" si="18"/>
        <v>3.4450057464609743E-3</v>
      </c>
      <c r="G224" s="302"/>
      <c r="H224" s="83"/>
      <c r="I224" s="54"/>
      <c r="J224" s="54"/>
      <c r="K224" s="71"/>
    </row>
    <row r="225" spans="1:11" s="3" customFormat="1" ht="12" customHeight="1" x14ac:dyDescent="0.2">
      <c r="A225" s="205"/>
      <c r="B225" s="15" t="s">
        <v>111</v>
      </c>
      <c r="C225" s="20" t="s">
        <v>11</v>
      </c>
      <c r="D225" s="20">
        <v>0.05</v>
      </c>
      <c r="E225" s="44">
        <f>SUM(F222:F224)</f>
        <v>8.9278280865576834E-2</v>
      </c>
      <c r="F225" s="206">
        <f t="shared" si="18"/>
        <v>4.4639140432788417E-3</v>
      </c>
      <c r="G225" s="302"/>
      <c r="H225" s="83"/>
      <c r="I225" s="54"/>
      <c r="J225" s="54"/>
      <c r="K225" s="71"/>
    </row>
    <row r="226" spans="1:11" s="3" customFormat="1" ht="12" customHeight="1" x14ac:dyDescent="0.2">
      <c r="A226" s="205"/>
      <c r="B226" s="15" t="s">
        <v>83</v>
      </c>
      <c r="C226" s="20" t="s">
        <v>33</v>
      </c>
      <c r="D226" s="20">
        <v>0.06</v>
      </c>
      <c r="E226" s="44">
        <f>VLOOKUP(B226,'Costo de Materiales'!B$4:D$350,3,FALSE)</f>
        <v>0.84211251580157165</v>
      </c>
      <c r="F226" s="206">
        <f t="shared" si="18"/>
        <v>5.05267509480943E-2</v>
      </c>
      <c r="G226" s="302"/>
      <c r="H226" s="83"/>
      <c r="I226" s="54"/>
      <c r="J226" s="54"/>
      <c r="K226" s="71"/>
    </row>
    <row r="227" spans="1:11" s="3" customFormat="1" ht="12" customHeight="1" x14ac:dyDescent="0.2">
      <c r="A227" s="205"/>
      <c r="B227" s="15" t="s">
        <v>10</v>
      </c>
      <c r="C227" s="20" t="s">
        <v>33</v>
      </c>
      <c r="D227" s="20">
        <v>0.06</v>
      </c>
      <c r="E227" s="44">
        <f>VLOOKUP(B227,'Costo de Materiales'!B$4:D$350,3,FALSE)</f>
        <v>0.35088021491732146</v>
      </c>
      <c r="F227" s="206">
        <f t="shared" si="18"/>
        <v>2.1052812895039286E-2</v>
      </c>
      <c r="G227" s="302"/>
      <c r="H227" s="83"/>
      <c r="I227" s="54"/>
      <c r="J227" s="54"/>
      <c r="K227" s="71"/>
    </row>
    <row r="228" spans="1:11" s="3" customFormat="1" ht="12" customHeight="1" x14ac:dyDescent="0.2">
      <c r="A228" s="207"/>
      <c r="B228" s="27" t="s">
        <v>93</v>
      </c>
      <c r="C228" s="28" t="s">
        <v>11</v>
      </c>
      <c r="D228" s="80">
        <f>VLOOKUP(B228,'Costo de Materiales'!B$4:D$350,3,FALSE)</f>
        <v>0.28999999999999998</v>
      </c>
      <c r="E228" s="45">
        <f>SUM(F226:F227)</f>
        <v>7.157956384313359E-2</v>
      </c>
      <c r="F228" s="208">
        <f t="shared" si="18"/>
        <v>2.075807351450874E-2</v>
      </c>
      <c r="G228" s="302"/>
      <c r="H228" s="83"/>
      <c r="I228" s="54"/>
      <c r="J228" s="54"/>
      <c r="K228" s="71"/>
    </row>
    <row r="229" spans="1:11" s="1" customFormat="1" ht="12" customHeight="1" x14ac:dyDescent="0.2">
      <c r="A229" s="209">
        <v>30</v>
      </c>
      <c r="B229" s="93" t="s">
        <v>170</v>
      </c>
      <c r="C229" s="91" t="s">
        <v>38</v>
      </c>
      <c r="D229" s="93"/>
      <c r="E229" s="94"/>
      <c r="F229" s="210">
        <f>SUM(F230:F236)</f>
        <v>0.22651692694004066</v>
      </c>
      <c r="G229" s="303"/>
      <c r="H229" s="83"/>
      <c r="I229" s="54"/>
      <c r="J229" s="54"/>
      <c r="K229" s="70"/>
    </row>
    <row r="230" spans="1:11" s="3" customFormat="1" ht="12" customHeight="1" x14ac:dyDescent="0.2">
      <c r="A230" s="205"/>
      <c r="B230" s="17" t="s">
        <v>288</v>
      </c>
      <c r="C230" s="11" t="s">
        <v>17</v>
      </c>
      <c r="D230" s="11">
        <v>0.76</v>
      </c>
      <c r="E230" s="44">
        <f>VLOOKUP(B230,'Costo de Materiales'!B$4:D$350,3,FALSE)</f>
        <v>0.12708243420278262</v>
      </c>
      <c r="F230" s="206">
        <f t="shared" ref="F230:F236" si="19">D230*E230</f>
        <v>9.6582649994114797E-2</v>
      </c>
      <c r="G230" s="302"/>
      <c r="H230" s="83"/>
      <c r="I230" s="54"/>
      <c r="J230" s="54"/>
      <c r="K230" s="71"/>
    </row>
    <row r="231" spans="1:11" s="3" customFormat="1" ht="12" customHeight="1" x14ac:dyDescent="0.2">
      <c r="A231" s="205"/>
      <c r="B231" s="15" t="s">
        <v>331</v>
      </c>
      <c r="C231" s="11" t="s">
        <v>17</v>
      </c>
      <c r="D231" s="20">
        <v>3.3</v>
      </c>
      <c r="E231" s="44">
        <f>VLOOKUP(B231,'Costo de Materiales'!B$4:D$350,3,FALSE)</f>
        <v>3.9713260688369568E-3</v>
      </c>
      <c r="F231" s="206">
        <f t="shared" si="19"/>
        <v>1.3105376027161957E-2</v>
      </c>
      <c r="G231" s="302"/>
      <c r="H231" s="83"/>
      <c r="I231" s="54"/>
      <c r="J231" s="54"/>
      <c r="K231" s="71"/>
    </row>
    <row r="232" spans="1:11" s="3" customFormat="1" ht="12" customHeight="1" x14ac:dyDescent="0.2">
      <c r="A232" s="205"/>
      <c r="B232" s="15" t="s">
        <v>332</v>
      </c>
      <c r="C232" s="11" t="s">
        <v>17</v>
      </c>
      <c r="D232" s="20">
        <v>4</v>
      </c>
      <c r="E232" s="44">
        <f>VLOOKUP(B232,'Costo de Materiales'!B$4:D$350,3,FALSE)</f>
        <v>8.6125143661524358E-4</v>
      </c>
      <c r="F232" s="206">
        <f t="shared" si="19"/>
        <v>3.4450057464609743E-3</v>
      </c>
      <c r="G232" s="302"/>
      <c r="H232" s="83"/>
      <c r="I232" s="54"/>
      <c r="J232" s="54"/>
      <c r="K232" s="71"/>
    </row>
    <row r="233" spans="1:11" s="3" customFormat="1" ht="12" customHeight="1" x14ac:dyDescent="0.2">
      <c r="A233" s="205"/>
      <c r="B233" s="15" t="s">
        <v>111</v>
      </c>
      <c r="C233" s="20" t="s">
        <v>11</v>
      </c>
      <c r="D233" s="20">
        <v>0.05</v>
      </c>
      <c r="E233" s="44">
        <f>SUM(F230:F232)</f>
        <v>0.11313303176773773</v>
      </c>
      <c r="F233" s="206">
        <f t="shared" si="19"/>
        <v>5.6566515883868865E-3</v>
      </c>
      <c r="G233" s="302"/>
      <c r="H233" s="83"/>
      <c r="I233" s="54"/>
      <c r="J233" s="54"/>
      <c r="K233" s="71"/>
    </row>
    <row r="234" spans="1:11" s="3" customFormat="1" ht="12" customHeight="1" x14ac:dyDescent="0.2">
      <c r="A234" s="205"/>
      <c r="B234" s="15" t="s">
        <v>83</v>
      </c>
      <c r="C234" s="20" t="s">
        <v>33</v>
      </c>
      <c r="D234" s="20">
        <v>7.0000000000000007E-2</v>
      </c>
      <c r="E234" s="44">
        <f>VLOOKUP(B234,'Costo de Materiales'!B$4:D$350,3,FALSE)</f>
        <v>0.84211251580157165</v>
      </c>
      <c r="F234" s="206">
        <f t="shared" si="19"/>
        <v>5.894787610611002E-2</v>
      </c>
      <c r="G234" s="302"/>
      <c r="H234" s="83"/>
      <c r="I234" s="54"/>
      <c r="J234" s="54"/>
      <c r="K234" s="71"/>
    </row>
    <row r="235" spans="1:11" s="3" customFormat="1" ht="12" customHeight="1" x14ac:dyDescent="0.2">
      <c r="A235" s="205"/>
      <c r="B235" s="15" t="s">
        <v>10</v>
      </c>
      <c r="C235" s="20" t="s">
        <v>33</v>
      </c>
      <c r="D235" s="20">
        <v>7.0000000000000007E-2</v>
      </c>
      <c r="E235" s="44">
        <f>VLOOKUP(B235,'Costo de Materiales'!B$4:D$350,3,FALSE)</f>
        <v>0.35088021491732146</v>
      </c>
      <c r="F235" s="206">
        <f t="shared" si="19"/>
        <v>2.4561615044212504E-2</v>
      </c>
      <c r="G235" s="302"/>
      <c r="H235" s="83"/>
      <c r="I235" s="54"/>
      <c r="J235" s="54"/>
      <c r="K235" s="71"/>
    </row>
    <row r="236" spans="1:11" s="3" customFormat="1" ht="12" customHeight="1" x14ac:dyDescent="0.2">
      <c r="A236" s="207"/>
      <c r="B236" s="27" t="s">
        <v>93</v>
      </c>
      <c r="C236" s="28" t="s">
        <v>11</v>
      </c>
      <c r="D236" s="80">
        <f>VLOOKUP(B236,'Costo de Materiales'!B$4:D$350,3,FALSE)</f>
        <v>0.28999999999999998</v>
      </c>
      <c r="E236" s="45">
        <f>SUM(F234:F235)</f>
        <v>8.3509491150322523E-2</v>
      </c>
      <c r="F236" s="208">
        <f t="shared" si="19"/>
        <v>2.4217752433593531E-2</v>
      </c>
      <c r="G236" s="307"/>
      <c r="H236" s="83"/>
      <c r="I236" s="54"/>
      <c r="J236" s="54"/>
      <c r="K236" s="71"/>
    </row>
    <row r="237" spans="1:11" ht="12" customHeight="1" x14ac:dyDescent="0.2">
      <c r="A237" s="209">
        <v>31</v>
      </c>
      <c r="B237" s="88" t="s">
        <v>358</v>
      </c>
      <c r="C237" s="91" t="s">
        <v>38</v>
      </c>
      <c r="D237" s="91"/>
      <c r="E237" s="94"/>
      <c r="F237" s="210">
        <f>SUM(F238:F243)</f>
        <v>9.3911928084828289E-2</v>
      </c>
      <c r="G237" s="302"/>
      <c r="H237" s="83"/>
      <c r="I237" s="53"/>
      <c r="J237" s="53"/>
    </row>
    <row r="238" spans="1:11" s="3" customFormat="1" ht="12" customHeight="1" x14ac:dyDescent="0.2">
      <c r="A238" s="205"/>
      <c r="B238" s="12" t="s">
        <v>292</v>
      </c>
      <c r="C238" s="11" t="s">
        <v>17</v>
      </c>
      <c r="D238" s="11">
        <v>1.1000000000000001</v>
      </c>
      <c r="E238" s="44">
        <f>VLOOKUP(B238,'Costo de Materiales'!B$4:D$350,3,FALSE)</f>
        <v>5.2655122924083426E-2</v>
      </c>
      <c r="F238" s="206">
        <f t="shared" ref="F238:F243" si="20">D238*E238</f>
        <v>5.7920635216491774E-2</v>
      </c>
      <c r="G238" s="302"/>
      <c r="H238" s="83"/>
      <c r="I238" s="53"/>
      <c r="J238" s="53"/>
      <c r="K238" s="58"/>
    </row>
    <row r="239" spans="1:11" s="3" customFormat="1" ht="12" customHeight="1" x14ac:dyDescent="0.2">
      <c r="A239" s="205"/>
      <c r="B239" s="12" t="s">
        <v>74</v>
      </c>
      <c r="C239" s="11" t="s">
        <v>18</v>
      </c>
      <c r="D239" s="11">
        <v>0.05</v>
      </c>
      <c r="E239" s="44">
        <f>VLOOKUP(B239,'Costo de Materiales'!B$4:D$350,3,FALSE)</f>
        <v>4.4115212475514143E-2</v>
      </c>
      <c r="F239" s="206">
        <f t="shared" si="20"/>
        <v>2.2057606237757071E-3</v>
      </c>
      <c r="G239" s="302"/>
      <c r="H239" s="83"/>
      <c r="I239" s="53"/>
      <c r="J239" s="53"/>
      <c r="K239" s="58"/>
    </row>
    <row r="240" spans="1:11" s="3" customFormat="1" ht="12" customHeight="1" x14ac:dyDescent="0.2">
      <c r="A240" s="205"/>
      <c r="B240" s="12" t="s">
        <v>111</v>
      </c>
      <c r="C240" s="11" t="s">
        <v>11</v>
      </c>
      <c r="D240" s="11">
        <v>0.05</v>
      </c>
      <c r="E240" s="44">
        <f>SUM(F238:F239)</f>
        <v>6.012639584026748E-2</v>
      </c>
      <c r="F240" s="206">
        <f t="shared" si="20"/>
        <v>3.0063197920133741E-3</v>
      </c>
      <c r="G240" s="302"/>
      <c r="H240" s="83"/>
      <c r="I240" s="53"/>
      <c r="J240" s="53"/>
      <c r="K240" s="58"/>
    </row>
    <row r="241" spans="1:11" s="3" customFormat="1" ht="12" customHeight="1" x14ac:dyDescent="0.2">
      <c r="A241" s="205"/>
      <c r="B241" s="12" t="s">
        <v>10</v>
      </c>
      <c r="C241" s="11" t="s">
        <v>33</v>
      </c>
      <c r="D241" s="11">
        <v>0.02</v>
      </c>
      <c r="E241" s="44">
        <f>VLOOKUP(B241,'Costo de Materiales'!B$4:D$350,3,FALSE)</f>
        <v>0.35088021491732146</v>
      </c>
      <c r="F241" s="206">
        <f t="shared" si="20"/>
        <v>7.0176042983464294E-3</v>
      </c>
      <c r="G241" s="302"/>
      <c r="H241" s="83"/>
      <c r="I241" s="53"/>
      <c r="J241" s="53"/>
      <c r="K241" s="58"/>
    </row>
    <row r="242" spans="1:11" s="3" customFormat="1" ht="12" customHeight="1" x14ac:dyDescent="0.2">
      <c r="A242" s="205"/>
      <c r="B242" s="12" t="s">
        <v>83</v>
      </c>
      <c r="C242" s="11" t="s">
        <v>33</v>
      </c>
      <c r="D242" s="11">
        <v>0.02</v>
      </c>
      <c r="E242" s="44">
        <f>VLOOKUP(B242,'Costo de Materiales'!B$4:D$350,3,FALSE)</f>
        <v>0.84211251580157165</v>
      </c>
      <c r="F242" s="206">
        <f t="shared" si="20"/>
        <v>1.6842250316031433E-2</v>
      </c>
      <c r="G242" s="302"/>
      <c r="H242" s="83"/>
      <c r="I242" s="53"/>
      <c r="J242" s="53"/>
      <c r="K242" s="58"/>
    </row>
    <row r="243" spans="1:11" s="3" customFormat="1" ht="12" customHeight="1" x14ac:dyDescent="0.2">
      <c r="A243" s="207"/>
      <c r="B243" s="26" t="s">
        <v>109</v>
      </c>
      <c r="C243" s="23" t="s">
        <v>11</v>
      </c>
      <c r="D243" s="80">
        <f>VLOOKUP(B243,'Costo de Materiales'!B$4:D$350,3,FALSE)</f>
        <v>0.28999999999999998</v>
      </c>
      <c r="E243" s="45">
        <f>SUM(F241:F242)</f>
        <v>2.3859854614377861E-2</v>
      </c>
      <c r="F243" s="208">
        <f t="shared" si="20"/>
        <v>6.919357838169579E-3</v>
      </c>
      <c r="G243" s="302"/>
      <c r="H243" s="83"/>
      <c r="I243" s="53"/>
      <c r="J243" s="53"/>
      <c r="K243" s="58"/>
    </row>
    <row r="244" spans="1:11" ht="12" customHeight="1" x14ac:dyDescent="0.2">
      <c r="A244" s="209">
        <v>32</v>
      </c>
      <c r="B244" s="88" t="s">
        <v>226</v>
      </c>
      <c r="C244" s="91" t="s">
        <v>38</v>
      </c>
      <c r="D244" s="91"/>
      <c r="E244" s="94"/>
      <c r="F244" s="210">
        <f>SUM(F245:F250)</f>
        <v>0.13158596957520127</v>
      </c>
      <c r="G244" s="303"/>
      <c r="H244" s="83"/>
      <c r="I244" s="53"/>
      <c r="J244" s="53"/>
    </row>
    <row r="245" spans="1:11" s="3" customFormat="1" ht="12" customHeight="1" x14ac:dyDescent="0.2">
      <c r="A245" s="205"/>
      <c r="B245" s="12" t="s">
        <v>293</v>
      </c>
      <c r="C245" s="11" t="s">
        <v>17</v>
      </c>
      <c r="D245" s="11">
        <v>1.1000000000000001</v>
      </c>
      <c r="E245" s="44">
        <f>VLOOKUP(B245,'Costo de Materiales'!B$4:D$350,3,FALSE)</f>
        <v>8.5273340664666075E-2</v>
      </c>
      <c r="F245" s="206">
        <f t="shared" ref="F245:F250" si="21">D245*E245</f>
        <v>9.3800674731132697E-2</v>
      </c>
      <c r="G245" s="302"/>
      <c r="H245" s="83"/>
      <c r="I245" s="53"/>
      <c r="J245" s="53"/>
      <c r="K245" s="58"/>
    </row>
    <row r="246" spans="1:11" s="3" customFormat="1" ht="12" customHeight="1" x14ac:dyDescent="0.2">
      <c r="A246" s="205"/>
      <c r="B246" s="12" t="s">
        <v>74</v>
      </c>
      <c r="C246" s="11" t="s">
        <v>18</v>
      </c>
      <c r="D246" s="11">
        <v>0.05</v>
      </c>
      <c r="E246" s="44">
        <f>VLOOKUP(B246,'Costo de Materiales'!B$4:D$350,3,FALSE)</f>
        <v>4.4115212475514143E-2</v>
      </c>
      <c r="F246" s="206">
        <f t="shared" si="21"/>
        <v>2.2057606237757071E-3</v>
      </c>
      <c r="G246" s="302"/>
      <c r="H246" s="83"/>
      <c r="I246" s="53"/>
      <c r="J246" s="53"/>
      <c r="K246" s="58"/>
    </row>
    <row r="247" spans="1:11" s="3" customFormat="1" ht="12" customHeight="1" x14ac:dyDescent="0.2">
      <c r="A247" s="205"/>
      <c r="B247" s="12" t="s">
        <v>111</v>
      </c>
      <c r="C247" s="11" t="s">
        <v>11</v>
      </c>
      <c r="D247" s="11">
        <v>0.05</v>
      </c>
      <c r="E247" s="44">
        <f>SUM(F245:F246)</f>
        <v>9.6006435354908409E-2</v>
      </c>
      <c r="F247" s="206">
        <f t="shared" si="21"/>
        <v>4.8003217677454208E-3</v>
      </c>
      <c r="G247" s="302"/>
      <c r="H247" s="83"/>
      <c r="I247" s="53"/>
      <c r="J247" s="53"/>
      <c r="K247" s="58"/>
    </row>
    <row r="248" spans="1:11" s="3" customFormat="1" ht="12" customHeight="1" x14ac:dyDescent="0.2">
      <c r="A248" s="205"/>
      <c r="B248" s="12" t="s">
        <v>83</v>
      </c>
      <c r="C248" s="11" t="s">
        <v>33</v>
      </c>
      <c r="D248" s="11">
        <v>0.02</v>
      </c>
      <c r="E248" s="44">
        <f>VLOOKUP(B248,'Costo de Materiales'!B$4:D$350,3,FALSE)</f>
        <v>0.84211251580157165</v>
      </c>
      <c r="F248" s="206">
        <f t="shared" si="21"/>
        <v>1.6842250316031433E-2</v>
      </c>
      <c r="G248" s="302"/>
      <c r="H248" s="83"/>
      <c r="I248" s="53"/>
      <c r="J248" s="53"/>
      <c r="K248" s="58"/>
    </row>
    <row r="249" spans="1:11" s="3" customFormat="1" ht="12" customHeight="1" x14ac:dyDescent="0.2">
      <c r="A249" s="205"/>
      <c r="B249" s="12" t="s">
        <v>10</v>
      </c>
      <c r="C249" s="11" t="s">
        <v>33</v>
      </c>
      <c r="D249" s="11">
        <v>0.02</v>
      </c>
      <c r="E249" s="44">
        <f>VLOOKUP(B249,'Costo de Materiales'!B$4:D$350,3,FALSE)</f>
        <v>0.35088021491732146</v>
      </c>
      <c r="F249" s="206">
        <f t="shared" si="21"/>
        <v>7.0176042983464294E-3</v>
      </c>
      <c r="G249" s="302"/>
      <c r="H249" s="83"/>
      <c r="I249" s="53"/>
      <c r="J249" s="53"/>
      <c r="K249" s="58"/>
    </row>
    <row r="250" spans="1:11" s="3" customFormat="1" ht="12" customHeight="1" x14ac:dyDescent="0.2">
      <c r="A250" s="207"/>
      <c r="B250" s="26" t="s">
        <v>109</v>
      </c>
      <c r="C250" s="23" t="s">
        <v>11</v>
      </c>
      <c r="D250" s="80">
        <f>VLOOKUP(B250,'Costo de Materiales'!B$4:D$350,3,FALSE)</f>
        <v>0.28999999999999998</v>
      </c>
      <c r="E250" s="45">
        <f>SUM(F248:F249)</f>
        <v>2.3859854614377861E-2</v>
      </c>
      <c r="F250" s="208">
        <f t="shared" si="21"/>
        <v>6.919357838169579E-3</v>
      </c>
      <c r="G250" s="307"/>
      <c r="H250" s="83"/>
      <c r="I250" s="53"/>
      <c r="J250" s="53"/>
      <c r="K250" s="58"/>
    </row>
    <row r="251" spans="1:11" ht="12" customHeight="1" x14ac:dyDescent="0.2">
      <c r="A251" s="209">
        <v>33</v>
      </c>
      <c r="B251" s="98" t="s">
        <v>621</v>
      </c>
      <c r="C251" s="91" t="s">
        <v>38</v>
      </c>
      <c r="D251" s="91"/>
      <c r="E251" s="94"/>
      <c r="F251" s="210">
        <f>SUM(F252:F265)</f>
        <v>0.55422212995170161</v>
      </c>
      <c r="G251" s="302"/>
      <c r="H251" s="83"/>
      <c r="I251" s="53"/>
      <c r="J251" s="53"/>
    </row>
    <row r="252" spans="1:11" s="3" customFormat="1" ht="12" customHeight="1" x14ac:dyDescent="0.2">
      <c r="A252" s="205"/>
      <c r="B252" s="10" t="s">
        <v>633</v>
      </c>
      <c r="C252" s="11" t="s">
        <v>568</v>
      </c>
      <c r="D252" s="11">
        <v>1</v>
      </c>
      <c r="E252" s="44">
        <f>VLOOKUP(B252,'Costo de Materiales'!B$4:D$350,3,FALSE)</f>
        <v>4.827792775248782E-2</v>
      </c>
      <c r="F252" s="206">
        <f t="shared" ref="F252:F265" si="22">D252*E252</f>
        <v>4.827792775248782E-2</v>
      </c>
      <c r="G252" s="302"/>
      <c r="H252" s="83"/>
      <c r="I252" s="82"/>
      <c r="J252" s="53"/>
      <c r="K252" s="58"/>
    </row>
    <row r="253" spans="1:11" s="3" customFormat="1" ht="12" customHeight="1" x14ac:dyDescent="0.2">
      <c r="A253" s="205"/>
      <c r="B253" s="10" t="s">
        <v>634</v>
      </c>
      <c r="C253" s="11" t="s">
        <v>568</v>
      </c>
      <c r="D253" s="11">
        <f>2.5+1</f>
        <v>3.5</v>
      </c>
      <c r="E253" s="44">
        <f>VLOOKUP(B253,'Costo de Materiales'!B$4:D$350,3,FALSE)</f>
        <v>4.827792775248782E-2</v>
      </c>
      <c r="F253" s="206">
        <f t="shared" si="22"/>
        <v>0.16897274713370736</v>
      </c>
      <c r="G253" s="302"/>
      <c r="H253" s="83"/>
      <c r="I253" s="83"/>
      <c r="J253" s="53"/>
      <c r="K253" s="58"/>
    </row>
    <row r="254" spans="1:11" s="3" customFormat="1" ht="12" customHeight="1" x14ac:dyDescent="0.2">
      <c r="A254" s="205"/>
      <c r="B254" s="10" t="s">
        <v>635</v>
      </c>
      <c r="C254" s="11" t="s">
        <v>568</v>
      </c>
      <c r="D254" s="11">
        <v>1</v>
      </c>
      <c r="E254" s="44">
        <f>VLOOKUP(B254,'Costo de Materiales'!B$4:D$350,3,FALSE)</f>
        <v>7.9900928330923059E-3</v>
      </c>
      <c r="F254" s="206">
        <f t="shared" si="22"/>
        <v>7.9900928330923059E-3</v>
      </c>
      <c r="G254" s="302"/>
      <c r="H254" s="83"/>
      <c r="I254" s="82"/>
      <c r="J254" s="53"/>
      <c r="K254" s="58"/>
    </row>
    <row r="255" spans="1:11" s="3" customFormat="1" ht="12" customHeight="1" x14ac:dyDescent="0.2">
      <c r="A255" s="205"/>
      <c r="B255" s="12" t="s">
        <v>618</v>
      </c>
      <c r="C255" s="11" t="s">
        <v>17</v>
      </c>
      <c r="D255" s="11">
        <v>4</v>
      </c>
      <c r="E255" s="44">
        <f>VLOOKUP(B255,'Costo de Materiales'!B$4:D$350,3,FALSE)</f>
        <v>7.4089951725037745E-4</v>
      </c>
      <c r="F255" s="206">
        <f t="shared" si="22"/>
        <v>2.9635980690015098E-3</v>
      </c>
      <c r="G255" s="302"/>
      <c r="H255" s="83"/>
      <c r="I255" s="82"/>
      <c r="J255" s="53"/>
      <c r="K255" s="58"/>
    </row>
    <row r="256" spans="1:11" s="3" customFormat="1" ht="12" customHeight="1" x14ac:dyDescent="0.2">
      <c r="A256" s="205"/>
      <c r="B256" s="12" t="s">
        <v>619</v>
      </c>
      <c r="C256" s="11" t="s">
        <v>17</v>
      </c>
      <c r="D256" s="11">
        <f>11*D253</f>
        <v>38.5</v>
      </c>
      <c r="E256" s="44">
        <f>VLOOKUP(B256,'Costo de Materiales'!B$4:D$350,3,FALSE)</f>
        <v>8.154554435145663E-4</v>
      </c>
      <c r="F256" s="206">
        <f t="shared" si="22"/>
        <v>3.1395034575310801E-2</v>
      </c>
      <c r="G256" s="302"/>
      <c r="H256" s="83"/>
      <c r="I256" s="82"/>
      <c r="J256" s="53"/>
      <c r="K256" s="58"/>
    </row>
    <row r="257" spans="1:11" s="3" customFormat="1" ht="12" customHeight="1" x14ac:dyDescent="0.2">
      <c r="A257" s="205"/>
      <c r="B257" s="12" t="s">
        <v>575</v>
      </c>
      <c r="C257" s="11" t="s">
        <v>17</v>
      </c>
      <c r="D257" s="11">
        <f>6.66+1+11</f>
        <v>18.66</v>
      </c>
      <c r="E257" s="44">
        <f>VLOOKUP(B257,'Costo de Materiales'!B$4:D$350,3,FALSE)</f>
        <v>7.874969711654954E-4</v>
      </c>
      <c r="F257" s="206">
        <f t="shared" si="22"/>
        <v>1.4694693481948145E-2</v>
      </c>
      <c r="G257" s="302"/>
      <c r="H257" s="83"/>
      <c r="I257" s="82"/>
      <c r="J257" s="53"/>
      <c r="K257" s="58"/>
    </row>
    <row r="258" spans="1:11" s="3" customFormat="1" ht="12" customHeight="1" x14ac:dyDescent="0.2">
      <c r="A258" s="205"/>
      <c r="B258" s="12" t="s">
        <v>323</v>
      </c>
      <c r="C258" s="11" t="s">
        <v>17</v>
      </c>
      <c r="D258" s="11">
        <v>1.6</v>
      </c>
      <c r="E258" s="44">
        <f>VLOOKUP(B258,'Costo de Materiales'!B$4:D$350,3,FALSE)</f>
        <v>3.0241747590911633E-3</v>
      </c>
      <c r="F258" s="206">
        <f t="shared" si="22"/>
        <v>4.8386796145458615E-3</v>
      </c>
      <c r="G258" s="302"/>
      <c r="H258" s="83"/>
      <c r="I258" s="83"/>
      <c r="J258" s="53"/>
      <c r="K258" s="58"/>
    </row>
    <row r="259" spans="1:11" s="3" customFormat="1" ht="12" customHeight="1" x14ac:dyDescent="0.2">
      <c r="A259" s="205"/>
      <c r="B259" s="12" t="s">
        <v>569</v>
      </c>
      <c r="C259" s="11" t="s">
        <v>17</v>
      </c>
      <c r="D259" s="11">
        <v>2</v>
      </c>
      <c r="E259" s="44">
        <f>VLOOKUP(B259,'Costo de Materiales'!B$4:D$350,3,FALSE)</f>
        <v>3.2152243201431473E-2</v>
      </c>
      <c r="F259" s="206">
        <f t="shared" si="22"/>
        <v>6.4304486402862945E-2</v>
      </c>
      <c r="G259" s="302"/>
      <c r="H259" s="83"/>
      <c r="I259" s="83"/>
      <c r="J259" s="53"/>
      <c r="K259" s="58"/>
    </row>
    <row r="260" spans="1:11" s="3" customFormat="1" ht="12" customHeight="1" x14ac:dyDescent="0.2">
      <c r="A260" s="205"/>
      <c r="B260" s="10" t="s">
        <v>570</v>
      </c>
      <c r="C260" s="11" t="s">
        <v>568</v>
      </c>
      <c r="D260" s="11">
        <v>0.23</v>
      </c>
      <c r="E260" s="44">
        <f>VLOOKUP(B260,'Costo de Materiales'!B$4:D$350,3,FALSE)</f>
        <v>6.1275651898380266E-2</v>
      </c>
      <c r="F260" s="206">
        <f t="shared" si="22"/>
        <v>1.4093399936627463E-2</v>
      </c>
      <c r="G260" s="302"/>
      <c r="H260" s="83"/>
      <c r="I260" s="83"/>
      <c r="J260" s="53"/>
      <c r="K260" s="58"/>
    </row>
    <row r="261" spans="1:11" s="3" customFormat="1" ht="12" customHeight="1" x14ac:dyDescent="0.2">
      <c r="A261" s="205"/>
      <c r="B261" s="12" t="s">
        <v>646</v>
      </c>
      <c r="C261" s="11" t="s">
        <v>17</v>
      </c>
      <c r="D261" s="11">
        <v>4</v>
      </c>
      <c r="E261" s="44">
        <f>VLOOKUP(B261,'Costo de Materiales'!B$4:D$350,3,FALSE)</f>
        <v>5.9330654522383444E-3</v>
      </c>
      <c r="F261" s="206">
        <f t="shared" si="22"/>
        <v>2.3732261808953378E-2</v>
      </c>
      <c r="G261" s="302"/>
      <c r="H261" s="83"/>
      <c r="I261" s="82"/>
      <c r="J261" s="53"/>
      <c r="K261" s="58"/>
    </row>
    <row r="262" spans="1:11" s="3" customFormat="1" ht="12" customHeight="1" x14ac:dyDescent="0.2">
      <c r="A262" s="205"/>
      <c r="B262" s="12" t="s">
        <v>111</v>
      </c>
      <c r="C262" s="11" t="s">
        <v>11</v>
      </c>
      <c r="D262" s="11">
        <v>0.05</v>
      </c>
      <c r="E262" s="44">
        <f>SUM(F252:F261)</f>
        <v>0.38126292160853759</v>
      </c>
      <c r="F262" s="206">
        <f t="shared" si="22"/>
        <v>1.906314608042688E-2</v>
      </c>
      <c r="G262" s="302"/>
      <c r="H262" s="83"/>
      <c r="I262" s="82"/>
      <c r="J262" s="53"/>
      <c r="K262" s="58"/>
    </row>
    <row r="263" spans="1:11" s="3" customFormat="1" ht="12" customHeight="1" x14ac:dyDescent="0.2">
      <c r="A263" s="205"/>
      <c r="B263" s="12" t="s">
        <v>83</v>
      </c>
      <c r="C263" s="11" t="s">
        <v>33</v>
      </c>
      <c r="D263" s="11">
        <v>0.1</v>
      </c>
      <c r="E263" s="44">
        <f>VLOOKUP(B263,'Costo de Materiales'!B$4:D$350,3,FALSE)</f>
        <v>0.84211251580157165</v>
      </c>
      <c r="F263" s="206">
        <f t="shared" si="22"/>
        <v>8.4211251580157173E-2</v>
      </c>
      <c r="G263" s="302"/>
      <c r="H263" s="83"/>
      <c r="I263" s="82"/>
      <c r="J263" s="53"/>
      <c r="K263" s="58"/>
    </row>
    <row r="264" spans="1:11" s="3" customFormat="1" ht="12" customHeight="1" x14ac:dyDescent="0.2">
      <c r="A264" s="205"/>
      <c r="B264" s="12" t="s">
        <v>10</v>
      </c>
      <c r="C264" s="11" t="s">
        <v>33</v>
      </c>
      <c r="D264" s="11">
        <v>0.1</v>
      </c>
      <c r="E264" s="44">
        <f>VLOOKUP(B264,'Costo de Materiales'!B$4:D$350,3,FALSE)</f>
        <v>0.35088021491732146</v>
      </c>
      <c r="F264" s="206">
        <f t="shared" si="22"/>
        <v>3.5088021491732145E-2</v>
      </c>
      <c r="G264" s="302"/>
      <c r="H264" s="83"/>
      <c r="I264" s="82"/>
      <c r="J264" s="53"/>
      <c r="K264" s="58"/>
    </row>
    <row r="265" spans="1:11" s="3" customFormat="1" ht="12" customHeight="1" x14ac:dyDescent="0.2">
      <c r="A265" s="207"/>
      <c r="B265" s="26" t="s">
        <v>109</v>
      </c>
      <c r="C265" s="23" t="s">
        <v>11</v>
      </c>
      <c r="D265" s="80">
        <f>VLOOKUP(B265,'Costo de Materiales'!B$4:D$350,3,FALSE)</f>
        <v>0.28999999999999998</v>
      </c>
      <c r="E265" s="45">
        <f>SUM(F263:F264)</f>
        <v>0.11929927307188931</v>
      </c>
      <c r="F265" s="208">
        <f t="shared" si="22"/>
        <v>3.4596789190847896E-2</v>
      </c>
      <c r="G265" s="302"/>
      <c r="H265" s="83"/>
      <c r="I265" s="82"/>
      <c r="J265" s="53"/>
      <c r="K265" s="58"/>
    </row>
    <row r="266" spans="1:11" ht="11.25" customHeight="1" x14ac:dyDescent="0.2">
      <c r="A266" s="209">
        <v>34</v>
      </c>
      <c r="B266" s="98" t="s">
        <v>620</v>
      </c>
      <c r="C266" s="91" t="s">
        <v>38</v>
      </c>
      <c r="D266" s="91"/>
      <c r="E266" s="94"/>
      <c r="F266" s="210">
        <f>SUM(F267:F280)</f>
        <v>0.55422212995170161</v>
      </c>
      <c r="G266" s="303"/>
      <c r="H266" s="83"/>
      <c r="I266" s="53"/>
      <c r="J266" s="53"/>
    </row>
    <row r="267" spans="1:11" s="3" customFormat="1" ht="12" customHeight="1" x14ac:dyDescent="0.2">
      <c r="A267" s="205"/>
      <c r="B267" s="10" t="s">
        <v>636</v>
      </c>
      <c r="C267" s="11" t="s">
        <v>568</v>
      </c>
      <c r="D267" s="11">
        <v>1</v>
      </c>
      <c r="E267" s="44">
        <f>VLOOKUP(B267,'Costo de Materiales'!B$4:D$350,3,FALSE)</f>
        <v>4.827792775248782E-2</v>
      </c>
      <c r="F267" s="206">
        <f t="shared" ref="F267:F272" si="23">D267*E267</f>
        <v>4.827792775248782E-2</v>
      </c>
      <c r="G267" s="302"/>
      <c r="H267" s="83"/>
      <c r="I267" s="82"/>
      <c r="J267" s="53"/>
      <c r="K267" s="58"/>
    </row>
    <row r="268" spans="1:11" s="3" customFormat="1" ht="12" customHeight="1" x14ac:dyDescent="0.2">
      <c r="A268" s="205"/>
      <c r="B268" s="10" t="s">
        <v>637</v>
      </c>
      <c r="C268" s="11" t="s">
        <v>568</v>
      </c>
      <c r="D268" s="11">
        <f>2.5+1</f>
        <v>3.5</v>
      </c>
      <c r="E268" s="44">
        <f>VLOOKUP(B268,'Costo de Materiales'!B$4:D$350,3,FALSE)</f>
        <v>4.827792775248782E-2</v>
      </c>
      <c r="F268" s="206">
        <f t="shared" si="23"/>
        <v>0.16897274713370736</v>
      </c>
      <c r="G268" s="302"/>
      <c r="H268" s="83"/>
      <c r="I268" s="83"/>
      <c r="J268" s="53"/>
      <c r="K268" s="58"/>
    </row>
    <row r="269" spans="1:11" s="3" customFormat="1" ht="12" customHeight="1" x14ac:dyDescent="0.2">
      <c r="A269" s="205"/>
      <c r="B269" s="10" t="s">
        <v>635</v>
      </c>
      <c r="C269" s="11" t="s">
        <v>568</v>
      </c>
      <c r="D269" s="11">
        <v>1</v>
      </c>
      <c r="E269" s="44">
        <f>VLOOKUP(B269,'Costo de Materiales'!B$4:D$350,3,FALSE)</f>
        <v>7.9900928330923059E-3</v>
      </c>
      <c r="F269" s="206">
        <f t="shared" si="23"/>
        <v>7.9900928330923059E-3</v>
      </c>
      <c r="G269" s="302"/>
      <c r="H269" s="83"/>
      <c r="I269" s="82"/>
      <c r="J269" s="53"/>
      <c r="K269" s="58"/>
    </row>
    <row r="270" spans="1:11" s="3" customFormat="1" ht="12" customHeight="1" x14ac:dyDescent="0.2">
      <c r="A270" s="205"/>
      <c r="B270" s="12" t="s">
        <v>618</v>
      </c>
      <c r="C270" s="11" t="s">
        <v>17</v>
      </c>
      <c r="D270" s="11">
        <v>4</v>
      </c>
      <c r="E270" s="44">
        <f>VLOOKUP(B270,'Costo de Materiales'!B$4:D$350,3,FALSE)</f>
        <v>7.4089951725037745E-4</v>
      </c>
      <c r="F270" s="206">
        <f t="shared" si="23"/>
        <v>2.9635980690015098E-3</v>
      </c>
      <c r="G270" s="302"/>
      <c r="H270" s="83"/>
      <c r="I270" s="82"/>
      <c r="J270" s="53"/>
      <c r="K270" s="58"/>
    </row>
    <row r="271" spans="1:11" s="3" customFormat="1" ht="12" customHeight="1" x14ac:dyDescent="0.2">
      <c r="A271" s="205"/>
      <c r="B271" s="12" t="s">
        <v>619</v>
      </c>
      <c r="C271" s="11" t="s">
        <v>17</v>
      </c>
      <c r="D271" s="11">
        <f>11*D268</f>
        <v>38.5</v>
      </c>
      <c r="E271" s="44">
        <f>VLOOKUP(B271,'Costo de Materiales'!B$4:D$350,3,FALSE)</f>
        <v>8.154554435145663E-4</v>
      </c>
      <c r="F271" s="206">
        <f t="shared" si="23"/>
        <v>3.1395034575310801E-2</v>
      </c>
      <c r="G271" s="302"/>
      <c r="H271" s="83"/>
      <c r="I271" s="82"/>
      <c r="J271" s="53"/>
      <c r="K271" s="58"/>
    </row>
    <row r="272" spans="1:11" s="3" customFormat="1" ht="12" customHeight="1" x14ac:dyDescent="0.2">
      <c r="A272" s="205"/>
      <c r="B272" s="12" t="s">
        <v>575</v>
      </c>
      <c r="C272" s="11" t="s">
        <v>17</v>
      </c>
      <c r="D272" s="11">
        <f>6.66+1+11</f>
        <v>18.66</v>
      </c>
      <c r="E272" s="44">
        <f>VLOOKUP(B272,'Costo de Materiales'!B$4:D$350,3,FALSE)</f>
        <v>7.874969711654954E-4</v>
      </c>
      <c r="F272" s="206">
        <f t="shared" si="23"/>
        <v>1.4694693481948145E-2</v>
      </c>
      <c r="G272" s="302"/>
      <c r="H272" s="83"/>
      <c r="I272" s="82"/>
      <c r="J272" s="53"/>
      <c r="K272" s="58"/>
    </row>
    <row r="273" spans="1:11" s="3" customFormat="1" ht="12" customHeight="1" x14ac:dyDescent="0.2">
      <c r="A273" s="205"/>
      <c r="B273" s="12" t="s">
        <v>323</v>
      </c>
      <c r="C273" s="11" t="s">
        <v>17</v>
      </c>
      <c r="D273" s="11">
        <v>1.6</v>
      </c>
      <c r="E273" s="44">
        <f>VLOOKUP(B273,'Costo de Materiales'!B$4:D$350,3,FALSE)</f>
        <v>3.0241747590911633E-3</v>
      </c>
      <c r="F273" s="206">
        <f t="shared" ref="F273:F280" si="24">D273*E273</f>
        <v>4.8386796145458615E-3</v>
      </c>
      <c r="G273" s="302"/>
      <c r="H273" s="83"/>
      <c r="I273" s="83"/>
      <c r="J273" s="53"/>
      <c r="K273" s="58"/>
    </row>
    <row r="274" spans="1:11" s="3" customFormat="1" ht="12" customHeight="1" x14ac:dyDescent="0.2">
      <c r="A274" s="205"/>
      <c r="B274" s="12" t="s">
        <v>569</v>
      </c>
      <c r="C274" s="11" t="s">
        <v>17</v>
      </c>
      <c r="D274" s="11">
        <v>2</v>
      </c>
      <c r="E274" s="44">
        <f>VLOOKUP(B274,'Costo de Materiales'!B$4:D$350,3,FALSE)</f>
        <v>3.2152243201431473E-2</v>
      </c>
      <c r="F274" s="206">
        <f t="shared" si="24"/>
        <v>6.4304486402862945E-2</v>
      </c>
      <c r="G274" s="302"/>
      <c r="H274" s="83"/>
      <c r="I274" s="83"/>
      <c r="J274" s="53"/>
      <c r="K274" s="58"/>
    </row>
    <row r="275" spans="1:11" s="3" customFormat="1" ht="12" customHeight="1" x14ac:dyDescent="0.2">
      <c r="A275" s="205"/>
      <c r="B275" s="10" t="s">
        <v>570</v>
      </c>
      <c r="C275" s="11" t="s">
        <v>568</v>
      </c>
      <c r="D275" s="11">
        <v>0.23</v>
      </c>
      <c r="E275" s="44">
        <f>VLOOKUP(B275,'Costo de Materiales'!B$4:D$350,3,FALSE)</f>
        <v>6.1275651898380266E-2</v>
      </c>
      <c r="F275" s="206">
        <f t="shared" si="24"/>
        <v>1.4093399936627463E-2</v>
      </c>
      <c r="G275" s="302"/>
      <c r="H275" s="83"/>
      <c r="I275" s="83"/>
      <c r="J275" s="53"/>
      <c r="K275" s="58"/>
    </row>
    <row r="276" spans="1:11" s="3" customFormat="1" ht="12" customHeight="1" x14ac:dyDescent="0.2">
      <c r="A276" s="205"/>
      <c r="B276" s="12" t="s">
        <v>646</v>
      </c>
      <c r="C276" s="11" t="s">
        <v>17</v>
      </c>
      <c r="D276" s="11">
        <v>4</v>
      </c>
      <c r="E276" s="44">
        <f>VLOOKUP(B276,'Costo de Materiales'!B$4:D$350,3,FALSE)</f>
        <v>5.9330654522383444E-3</v>
      </c>
      <c r="F276" s="206">
        <f t="shared" si="24"/>
        <v>2.3732261808953378E-2</v>
      </c>
      <c r="G276" s="302"/>
      <c r="H276" s="83"/>
      <c r="I276" s="82"/>
      <c r="J276" s="53"/>
      <c r="K276" s="58"/>
    </row>
    <row r="277" spans="1:11" s="3" customFormat="1" ht="12" customHeight="1" x14ac:dyDescent="0.2">
      <c r="A277" s="205"/>
      <c r="B277" s="12" t="s">
        <v>111</v>
      </c>
      <c r="C277" s="11" t="s">
        <v>11</v>
      </c>
      <c r="D277" s="11">
        <v>0.05</v>
      </c>
      <c r="E277" s="44">
        <f>SUM(F267:F276)</f>
        <v>0.38126292160853759</v>
      </c>
      <c r="F277" s="206">
        <f t="shared" si="24"/>
        <v>1.906314608042688E-2</v>
      </c>
      <c r="G277" s="302"/>
      <c r="H277" s="83"/>
      <c r="I277" s="82"/>
      <c r="J277" s="53"/>
      <c r="K277" s="58"/>
    </row>
    <row r="278" spans="1:11" s="3" customFormat="1" ht="12" customHeight="1" x14ac:dyDescent="0.2">
      <c r="A278" s="205"/>
      <c r="B278" s="12" t="s">
        <v>83</v>
      </c>
      <c r="C278" s="11" t="s">
        <v>33</v>
      </c>
      <c r="D278" s="11">
        <v>0.1</v>
      </c>
      <c r="E278" s="44">
        <f>VLOOKUP(B278,'Costo de Materiales'!B$4:D$350,3,FALSE)</f>
        <v>0.84211251580157165</v>
      </c>
      <c r="F278" s="206">
        <f t="shared" si="24"/>
        <v>8.4211251580157173E-2</v>
      </c>
      <c r="G278" s="302"/>
      <c r="H278" s="83"/>
      <c r="I278" s="82"/>
      <c r="J278" s="53"/>
      <c r="K278" s="58"/>
    </row>
    <row r="279" spans="1:11" s="3" customFormat="1" ht="12" customHeight="1" x14ac:dyDescent="0.2">
      <c r="A279" s="205"/>
      <c r="B279" s="12" t="s">
        <v>10</v>
      </c>
      <c r="C279" s="11" t="s">
        <v>33</v>
      </c>
      <c r="D279" s="11">
        <v>0.1</v>
      </c>
      <c r="E279" s="44">
        <f>VLOOKUP(B279,'Costo de Materiales'!B$4:D$350,3,FALSE)</f>
        <v>0.35088021491732146</v>
      </c>
      <c r="F279" s="206">
        <f t="shared" si="24"/>
        <v>3.5088021491732145E-2</v>
      </c>
      <c r="G279" s="302"/>
      <c r="H279" s="83"/>
      <c r="I279" s="82"/>
      <c r="J279" s="53"/>
      <c r="K279" s="58"/>
    </row>
    <row r="280" spans="1:11" s="3" customFormat="1" ht="12" customHeight="1" x14ac:dyDescent="0.2">
      <c r="A280" s="207"/>
      <c r="B280" s="26" t="s">
        <v>109</v>
      </c>
      <c r="C280" s="23" t="s">
        <v>11</v>
      </c>
      <c r="D280" s="80">
        <f>VLOOKUP(B280,'Costo de Materiales'!B$4:D$350,3,FALSE)</f>
        <v>0.28999999999999998</v>
      </c>
      <c r="E280" s="45">
        <f>SUM(F278:F279)</f>
        <v>0.11929927307188931</v>
      </c>
      <c r="F280" s="208">
        <f t="shared" si="24"/>
        <v>3.4596789190847896E-2</v>
      </c>
      <c r="G280" s="307"/>
      <c r="H280" s="83"/>
      <c r="I280" s="82"/>
      <c r="J280" s="53"/>
      <c r="K280" s="58"/>
    </row>
    <row r="281" spans="1:11" ht="12" customHeight="1" x14ac:dyDescent="0.2">
      <c r="A281" s="209">
        <v>35</v>
      </c>
      <c r="B281" s="98" t="s">
        <v>622</v>
      </c>
      <c r="C281" s="91" t="s">
        <v>38</v>
      </c>
      <c r="D281" s="91"/>
      <c r="E281" s="94"/>
      <c r="F281" s="210">
        <f>SUM(F282:F295)</f>
        <v>0.55422212995170161</v>
      </c>
      <c r="G281" s="302"/>
      <c r="H281" s="83"/>
      <c r="I281" s="82"/>
      <c r="J281" s="53"/>
    </row>
    <row r="282" spans="1:11" s="3" customFormat="1" ht="12" customHeight="1" x14ac:dyDescent="0.2">
      <c r="A282" s="205"/>
      <c r="B282" s="10" t="s">
        <v>638</v>
      </c>
      <c r="C282" s="11" t="s">
        <v>568</v>
      </c>
      <c r="D282" s="11">
        <v>1</v>
      </c>
      <c r="E282" s="44">
        <f>VLOOKUP(B282,'Costo de Materiales'!B$4:D$350,3,FALSE)</f>
        <v>4.827792775248782E-2</v>
      </c>
      <c r="F282" s="206">
        <f t="shared" ref="F282:F295" si="25">D282*E282</f>
        <v>4.827792775248782E-2</v>
      </c>
      <c r="G282" s="302"/>
      <c r="H282" s="83"/>
      <c r="I282" s="82"/>
      <c r="J282" s="53"/>
      <c r="K282" s="58"/>
    </row>
    <row r="283" spans="1:11" s="3" customFormat="1" ht="12" customHeight="1" x14ac:dyDescent="0.2">
      <c r="A283" s="205"/>
      <c r="B283" s="10" t="s">
        <v>639</v>
      </c>
      <c r="C283" s="11" t="s">
        <v>568</v>
      </c>
      <c r="D283" s="11">
        <f>2.5+1</f>
        <v>3.5</v>
      </c>
      <c r="E283" s="44">
        <f>VLOOKUP(B283,'Costo de Materiales'!B$4:D$350,3,FALSE)</f>
        <v>4.827792775248782E-2</v>
      </c>
      <c r="F283" s="206">
        <f t="shared" si="25"/>
        <v>0.16897274713370736</v>
      </c>
      <c r="G283" s="302"/>
      <c r="H283" s="83"/>
      <c r="I283" s="83"/>
      <c r="J283" s="53"/>
      <c r="K283" s="58"/>
    </row>
    <row r="284" spans="1:11" s="3" customFormat="1" ht="12" customHeight="1" x14ac:dyDescent="0.2">
      <c r="A284" s="205"/>
      <c r="B284" s="10" t="s">
        <v>635</v>
      </c>
      <c r="C284" s="11" t="s">
        <v>568</v>
      </c>
      <c r="D284" s="11">
        <v>1</v>
      </c>
      <c r="E284" s="44">
        <f>VLOOKUP(B284,'Costo de Materiales'!B$4:D$350,3,FALSE)</f>
        <v>7.9900928330923059E-3</v>
      </c>
      <c r="F284" s="206">
        <f t="shared" si="25"/>
        <v>7.9900928330923059E-3</v>
      </c>
      <c r="G284" s="302"/>
      <c r="H284" s="83"/>
      <c r="I284" s="82"/>
      <c r="J284" s="53"/>
      <c r="K284" s="58"/>
    </row>
    <row r="285" spans="1:11" s="3" customFormat="1" ht="12" customHeight="1" x14ac:dyDescent="0.2">
      <c r="A285" s="205"/>
      <c r="B285" s="12" t="s">
        <v>618</v>
      </c>
      <c r="C285" s="11" t="s">
        <v>17</v>
      </c>
      <c r="D285" s="11">
        <v>4</v>
      </c>
      <c r="E285" s="44">
        <f>VLOOKUP(B285,'Costo de Materiales'!B$4:D$350,3,FALSE)</f>
        <v>7.4089951725037745E-4</v>
      </c>
      <c r="F285" s="206">
        <f t="shared" si="25"/>
        <v>2.9635980690015098E-3</v>
      </c>
      <c r="G285" s="302"/>
      <c r="H285" s="83"/>
      <c r="I285" s="82"/>
      <c r="J285" s="53"/>
      <c r="K285" s="58"/>
    </row>
    <row r="286" spans="1:11" s="3" customFormat="1" ht="12" customHeight="1" x14ac:dyDescent="0.2">
      <c r="A286" s="205"/>
      <c r="B286" s="12" t="s">
        <v>619</v>
      </c>
      <c r="C286" s="11" t="s">
        <v>17</v>
      </c>
      <c r="D286" s="11">
        <f>11*D283</f>
        <v>38.5</v>
      </c>
      <c r="E286" s="44">
        <f>VLOOKUP(B286,'Costo de Materiales'!B$4:D$350,3,FALSE)</f>
        <v>8.154554435145663E-4</v>
      </c>
      <c r="F286" s="206">
        <f t="shared" si="25"/>
        <v>3.1395034575310801E-2</v>
      </c>
      <c r="G286" s="302"/>
      <c r="H286" s="83"/>
      <c r="I286" s="82"/>
      <c r="J286" s="53"/>
      <c r="K286" s="58"/>
    </row>
    <row r="287" spans="1:11" s="3" customFormat="1" ht="12" customHeight="1" x14ac:dyDescent="0.2">
      <c r="A287" s="205"/>
      <c r="B287" s="12" t="s">
        <v>575</v>
      </c>
      <c r="C287" s="11" t="s">
        <v>17</v>
      </c>
      <c r="D287" s="11">
        <f>6.66+1+11</f>
        <v>18.66</v>
      </c>
      <c r="E287" s="44">
        <f>VLOOKUP(B287,'Costo de Materiales'!B$4:D$350,3,FALSE)</f>
        <v>7.874969711654954E-4</v>
      </c>
      <c r="F287" s="206">
        <f t="shared" si="25"/>
        <v>1.4694693481948145E-2</v>
      </c>
      <c r="G287" s="302"/>
      <c r="H287" s="83"/>
      <c r="I287" s="82"/>
      <c r="J287" s="53"/>
      <c r="K287" s="58"/>
    </row>
    <row r="288" spans="1:11" s="3" customFormat="1" ht="12" customHeight="1" x14ac:dyDescent="0.2">
      <c r="A288" s="205"/>
      <c r="B288" s="12" t="s">
        <v>323</v>
      </c>
      <c r="C288" s="11" t="s">
        <v>17</v>
      </c>
      <c r="D288" s="11">
        <v>1.6</v>
      </c>
      <c r="E288" s="44">
        <f>VLOOKUP(B288,'Costo de Materiales'!B$4:D$350,3,FALSE)</f>
        <v>3.0241747590911633E-3</v>
      </c>
      <c r="F288" s="206">
        <f t="shared" si="25"/>
        <v>4.8386796145458615E-3</v>
      </c>
      <c r="G288" s="302"/>
      <c r="H288" s="83"/>
      <c r="I288" s="83"/>
      <c r="J288" s="53"/>
      <c r="K288" s="58"/>
    </row>
    <row r="289" spans="1:11" s="3" customFormat="1" ht="12" customHeight="1" x14ac:dyDescent="0.2">
      <c r="A289" s="205"/>
      <c r="B289" s="12" t="s">
        <v>569</v>
      </c>
      <c r="C289" s="11" t="s">
        <v>17</v>
      </c>
      <c r="D289" s="11">
        <v>2</v>
      </c>
      <c r="E289" s="44">
        <f>VLOOKUP(B289,'Costo de Materiales'!B$4:D$350,3,FALSE)</f>
        <v>3.2152243201431473E-2</v>
      </c>
      <c r="F289" s="206">
        <f t="shared" si="25"/>
        <v>6.4304486402862945E-2</v>
      </c>
      <c r="G289" s="302"/>
      <c r="H289" s="83"/>
      <c r="I289" s="83"/>
      <c r="J289" s="53"/>
      <c r="K289" s="58"/>
    </row>
    <row r="290" spans="1:11" s="3" customFormat="1" ht="12" customHeight="1" x14ac:dyDescent="0.2">
      <c r="A290" s="205"/>
      <c r="B290" s="10" t="s">
        <v>570</v>
      </c>
      <c r="C290" s="11" t="s">
        <v>568</v>
      </c>
      <c r="D290" s="11">
        <v>0.23</v>
      </c>
      <c r="E290" s="44">
        <f>VLOOKUP(B290,'Costo de Materiales'!B$4:D$350,3,FALSE)</f>
        <v>6.1275651898380266E-2</v>
      </c>
      <c r="F290" s="206">
        <f t="shared" si="25"/>
        <v>1.4093399936627463E-2</v>
      </c>
      <c r="G290" s="302"/>
      <c r="H290" s="83"/>
      <c r="I290" s="83"/>
      <c r="J290" s="53"/>
      <c r="K290" s="58"/>
    </row>
    <row r="291" spans="1:11" s="3" customFormat="1" ht="12" customHeight="1" x14ac:dyDescent="0.2">
      <c r="A291" s="205"/>
      <c r="B291" s="12" t="s">
        <v>646</v>
      </c>
      <c r="C291" s="11" t="s">
        <v>17</v>
      </c>
      <c r="D291" s="11">
        <v>4</v>
      </c>
      <c r="E291" s="44">
        <f>VLOOKUP(B291,'Costo de Materiales'!B$4:D$350,3,FALSE)</f>
        <v>5.9330654522383444E-3</v>
      </c>
      <c r="F291" s="206">
        <f t="shared" si="25"/>
        <v>2.3732261808953378E-2</v>
      </c>
      <c r="G291" s="302"/>
      <c r="H291" s="83"/>
      <c r="I291" s="82"/>
      <c r="J291" s="53"/>
      <c r="K291" s="58"/>
    </row>
    <row r="292" spans="1:11" s="3" customFormat="1" ht="12" customHeight="1" x14ac:dyDescent="0.2">
      <c r="A292" s="205"/>
      <c r="B292" s="12" t="s">
        <v>111</v>
      </c>
      <c r="C292" s="11" t="s">
        <v>11</v>
      </c>
      <c r="D292" s="11">
        <v>0.05</v>
      </c>
      <c r="E292" s="44">
        <f>SUM(F282:F291)</f>
        <v>0.38126292160853759</v>
      </c>
      <c r="F292" s="206">
        <f t="shared" si="25"/>
        <v>1.906314608042688E-2</v>
      </c>
      <c r="G292" s="302"/>
      <c r="H292" s="83"/>
      <c r="I292" s="82"/>
      <c r="J292" s="53"/>
      <c r="K292" s="58"/>
    </row>
    <row r="293" spans="1:11" s="3" customFormat="1" ht="12" customHeight="1" x14ac:dyDescent="0.2">
      <c r="A293" s="205"/>
      <c r="B293" s="12" t="s">
        <v>83</v>
      </c>
      <c r="C293" s="11" t="s">
        <v>33</v>
      </c>
      <c r="D293" s="11">
        <v>0.1</v>
      </c>
      <c r="E293" s="44">
        <f>VLOOKUP(B293,'Costo de Materiales'!B$4:D$350,3,FALSE)</f>
        <v>0.84211251580157165</v>
      </c>
      <c r="F293" s="206">
        <f t="shared" si="25"/>
        <v>8.4211251580157173E-2</v>
      </c>
      <c r="G293" s="302"/>
      <c r="H293" s="83"/>
      <c r="I293" s="82"/>
      <c r="J293" s="53"/>
      <c r="K293" s="58"/>
    </row>
    <row r="294" spans="1:11" s="3" customFormat="1" ht="12" customHeight="1" x14ac:dyDescent="0.2">
      <c r="A294" s="205"/>
      <c r="B294" s="12" t="s">
        <v>10</v>
      </c>
      <c r="C294" s="11" t="s">
        <v>33</v>
      </c>
      <c r="D294" s="11">
        <v>0.1</v>
      </c>
      <c r="E294" s="44">
        <f>VLOOKUP(B294,'Costo de Materiales'!B$4:D$350,3,FALSE)</f>
        <v>0.35088021491732146</v>
      </c>
      <c r="F294" s="206">
        <f t="shared" si="25"/>
        <v>3.5088021491732145E-2</v>
      </c>
      <c r="G294" s="302"/>
      <c r="H294" s="83"/>
      <c r="I294" s="82"/>
      <c r="J294" s="53"/>
      <c r="K294" s="58"/>
    </row>
    <row r="295" spans="1:11" s="3" customFormat="1" ht="12" customHeight="1" x14ac:dyDescent="0.2">
      <c r="A295" s="207"/>
      <c r="B295" s="26" t="s">
        <v>109</v>
      </c>
      <c r="C295" s="23" t="s">
        <v>11</v>
      </c>
      <c r="D295" s="80">
        <f>VLOOKUP(B295,'Costo de Materiales'!B$4:D$350,3,FALSE)</f>
        <v>0.28999999999999998</v>
      </c>
      <c r="E295" s="45">
        <f>SUM(F293:F294)</f>
        <v>0.11929927307188931</v>
      </c>
      <c r="F295" s="208">
        <f t="shared" si="25"/>
        <v>3.4596789190847896E-2</v>
      </c>
      <c r="G295" s="302"/>
      <c r="H295" s="83"/>
      <c r="I295" s="82"/>
      <c r="J295" s="53"/>
      <c r="K295" s="58"/>
    </row>
    <row r="296" spans="1:11" ht="12" customHeight="1" x14ac:dyDescent="0.2">
      <c r="A296" s="209">
        <v>36</v>
      </c>
      <c r="B296" s="88" t="s">
        <v>572</v>
      </c>
      <c r="C296" s="91" t="s">
        <v>38</v>
      </c>
      <c r="D296" s="91"/>
      <c r="E296" s="94"/>
      <c r="F296" s="210">
        <f>SUM(F297:F302)</f>
        <v>0.17609438741577682</v>
      </c>
      <c r="G296" s="303"/>
      <c r="H296" s="83"/>
      <c r="I296" s="53"/>
      <c r="J296" s="53"/>
    </row>
    <row r="297" spans="1:11" s="3" customFormat="1" ht="12" customHeight="1" x14ac:dyDescent="0.2">
      <c r="A297" s="205"/>
      <c r="B297" s="17" t="s">
        <v>283</v>
      </c>
      <c r="C297" s="11" t="s">
        <v>17</v>
      </c>
      <c r="D297" s="11">
        <v>1.98</v>
      </c>
      <c r="E297" s="44">
        <f>VLOOKUP(B297,'Costo de Materiales'!B$4:D$350,3,FALSE)</f>
        <v>3.1770608550695655E-2</v>
      </c>
      <c r="F297" s="206">
        <f t="shared" ref="F297:F302" si="26">D297*E297</f>
        <v>6.2905804930377396E-2</v>
      </c>
      <c r="G297" s="302"/>
      <c r="H297" s="83"/>
      <c r="I297" s="53"/>
      <c r="J297" s="53"/>
      <c r="K297" s="58"/>
    </row>
    <row r="298" spans="1:11" s="3" customFormat="1" ht="12" customHeight="1" x14ac:dyDescent="0.2">
      <c r="A298" s="205"/>
      <c r="B298" s="12" t="s">
        <v>74</v>
      </c>
      <c r="C298" s="11" t="s">
        <v>18</v>
      </c>
      <c r="D298" s="11">
        <v>0.05</v>
      </c>
      <c r="E298" s="44">
        <f>VLOOKUP(B298,'Costo de Materiales'!B$4:D$350,3,FALSE)</f>
        <v>4.4115212475514143E-2</v>
      </c>
      <c r="F298" s="206">
        <f t="shared" si="26"/>
        <v>2.2057606237757071E-3</v>
      </c>
      <c r="G298" s="302"/>
      <c r="H298" s="83"/>
      <c r="I298" s="53"/>
      <c r="J298" s="53"/>
      <c r="K298" s="58"/>
    </row>
    <row r="299" spans="1:11" s="3" customFormat="1" ht="12" customHeight="1" x14ac:dyDescent="0.2">
      <c r="A299" s="205"/>
      <c r="B299" s="12" t="s">
        <v>111</v>
      </c>
      <c r="C299" s="11" t="s">
        <v>11</v>
      </c>
      <c r="D299" s="11">
        <v>0.05</v>
      </c>
      <c r="E299" s="44">
        <f>SUM(F297:F298)</f>
        <v>6.5111565554153109E-2</v>
      </c>
      <c r="F299" s="206">
        <f t="shared" si="26"/>
        <v>3.2555782777076558E-3</v>
      </c>
      <c r="G299" s="302"/>
      <c r="H299" s="83"/>
      <c r="I299" s="53"/>
      <c r="J299" s="53"/>
      <c r="K299" s="58"/>
    </row>
    <row r="300" spans="1:11" s="3" customFormat="1" ht="12" customHeight="1" x14ac:dyDescent="0.2">
      <c r="A300" s="205"/>
      <c r="B300" s="12" t="s">
        <v>83</v>
      </c>
      <c r="C300" s="11" t="s">
        <v>33</v>
      </c>
      <c r="D300" s="11">
        <v>7.0000000000000007E-2</v>
      </c>
      <c r="E300" s="44">
        <f>VLOOKUP(B300,'Costo de Materiales'!B$4:D$350,3,FALSE)</f>
        <v>0.84211251580157165</v>
      </c>
      <c r="F300" s="206">
        <f t="shared" si="26"/>
        <v>5.894787610611002E-2</v>
      </c>
      <c r="G300" s="302"/>
      <c r="H300" s="83"/>
      <c r="I300" s="53"/>
      <c r="J300" s="53"/>
      <c r="K300" s="58"/>
    </row>
    <row r="301" spans="1:11" s="3" customFormat="1" ht="12" customHeight="1" x14ac:dyDescent="0.2">
      <c r="A301" s="205"/>
      <c r="B301" s="12" t="s">
        <v>10</v>
      </c>
      <c r="C301" s="11" t="s">
        <v>33</v>
      </c>
      <c r="D301" s="11">
        <v>7.0000000000000007E-2</v>
      </c>
      <c r="E301" s="44">
        <f>VLOOKUP(B301,'Costo de Materiales'!B$4:D$350,3,FALSE)</f>
        <v>0.35088021491732146</v>
      </c>
      <c r="F301" s="206">
        <f t="shared" si="26"/>
        <v>2.4561615044212504E-2</v>
      </c>
      <c r="G301" s="302"/>
      <c r="H301" s="83"/>
      <c r="I301" s="53"/>
      <c r="J301" s="53"/>
      <c r="K301" s="58"/>
    </row>
    <row r="302" spans="1:11" s="3" customFormat="1" ht="12" customHeight="1" x14ac:dyDescent="0.2">
      <c r="A302" s="207"/>
      <c r="B302" s="26" t="s">
        <v>109</v>
      </c>
      <c r="C302" s="23" t="s">
        <v>11</v>
      </c>
      <c r="D302" s="80">
        <f>VLOOKUP(B302,'Costo de Materiales'!B$4:D$350,3,FALSE)</f>
        <v>0.28999999999999998</v>
      </c>
      <c r="E302" s="45">
        <f>SUM(F300:F301)</f>
        <v>8.3509491150322523E-2</v>
      </c>
      <c r="F302" s="208">
        <f t="shared" si="26"/>
        <v>2.4217752433593531E-2</v>
      </c>
      <c r="G302" s="307"/>
      <c r="H302" s="83"/>
      <c r="I302" s="53"/>
      <c r="J302" s="53"/>
      <c r="K302" s="58"/>
    </row>
    <row r="303" spans="1:11" s="3" customFormat="1" ht="12" customHeight="1" x14ac:dyDescent="0.2">
      <c r="A303" s="209">
        <v>37</v>
      </c>
      <c r="B303" s="88" t="s">
        <v>571</v>
      </c>
      <c r="C303" s="91" t="s">
        <v>38</v>
      </c>
      <c r="D303" s="91"/>
      <c r="E303" s="94"/>
      <c r="F303" s="210">
        <f>SUM(F304:F310)</f>
        <v>0.30999766974743143</v>
      </c>
      <c r="G303" s="302"/>
      <c r="H303" s="83"/>
      <c r="I303" s="53"/>
      <c r="J303" s="53"/>
      <c r="K303" s="58"/>
    </row>
    <row r="304" spans="1:11" s="3" customFormat="1" ht="12" customHeight="1" x14ac:dyDescent="0.2">
      <c r="A304" s="205"/>
      <c r="B304" s="10" t="s">
        <v>637</v>
      </c>
      <c r="C304" s="11" t="s">
        <v>568</v>
      </c>
      <c r="D304" s="11">
        <v>1.98</v>
      </c>
      <c r="E304" s="44">
        <f>VLOOKUP(B304,'Costo de Materiales'!B$4:D$350,3,FALSE)</f>
        <v>4.827792775248782E-2</v>
      </c>
      <c r="F304" s="206">
        <f t="shared" ref="F304:F310" si="27">D304*E304</f>
        <v>9.5590296949925879E-2</v>
      </c>
      <c r="G304" s="302"/>
      <c r="H304" s="83"/>
      <c r="I304" s="53"/>
      <c r="J304" s="53"/>
      <c r="K304" s="58"/>
    </row>
    <row r="305" spans="1:11" s="3" customFormat="1" ht="12" customHeight="1" x14ac:dyDescent="0.2">
      <c r="A305" s="205"/>
      <c r="B305" s="10" t="s">
        <v>634</v>
      </c>
      <c r="C305" s="11" t="s">
        <v>568</v>
      </c>
      <c r="D305" s="11">
        <v>1.78</v>
      </c>
      <c r="E305" s="44">
        <f>VLOOKUP(B305,'Costo de Materiales'!B$4:D$350,3,FALSE)</f>
        <v>4.827792775248782E-2</v>
      </c>
      <c r="F305" s="206">
        <f t="shared" si="27"/>
        <v>8.5934711399428321E-2</v>
      </c>
      <c r="G305" s="302"/>
      <c r="H305" s="83"/>
      <c r="I305" s="53"/>
      <c r="J305" s="53"/>
      <c r="K305" s="58"/>
    </row>
    <row r="306" spans="1:11" s="3" customFormat="1" ht="12" customHeight="1" x14ac:dyDescent="0.2">
      <c r="A306" s="205"/>
      <c r="B306" s="12" t="s">
        <v>618</v>
      </c>
      <c r="C306" s="11" t="s">
        <v>17</v>
      </c>
      <c r="D306" s="11">
        <v>15</v>
      </c>
      <c r="E306" s="44">
        <f>VLOOKUP(B306,'Costo de Materiales'!B$4:D$350,3,FALSE)</f>
        <v>7.4089951725037745E-4</v>
      </c>
      <c r="F306" s="206">
        <f t="shared" si="27"/>
        <v>1.1113492758755662E-2</v>
      </c>
      <c r="G306" s="302"/>
      <c r="H306" s="83"/>
      <c r="I306" s="53"/>
      <c r="J306" s="53"/>
      <c r="K306" s="58"/>
    </row>
    <row r="307" spans="1:11" s="3" customFormat="1" ht="12" customHeight="1" x14ac:dyDescent="0.2">
      <c r="A307" s="205"/>
      <c r="B307" s="12" t="s">
        <v>111</v>
      </c>
      <c r="C307" s="11" t="s">
        <v>11</v>
      </c>
      <c r="D307" s="11">
        <v>0.05</v>
      </c>
      <c r="E307" s="44">
        <f>SUM(F304:F306)</f>
        <v>0.19263850110810987</v>
      </c>
      <c r="F307" s="206">
        <f t="shared" si="27"/>
        <v>9.6319250554054939E-3</v>
      </c>
      <c r="G307" s="302"/>
      <c r="H307" s="83"/>
      <c r="I307" s="53"/>
      <c r="J307" s="53"/>
      <c r="K307" s="58"/>
    </row>
    <row r="308" spans="1:11" s="3" customFormat="1" ht="12" customHeight="1" x14ac:dyDescent="0.2">
      <c r="A308" s="205"/>
      <c r="B308" s="12" t="s">
        <v>83</v>
      </c>
      <c r="C308" s="11" t="s">
        <v>33</v>
      </c>
      <c r="D308" s="11">
        <v>7.0000000000000007E-2</v>
      </c>
      <c r="E308" s="44">
        <f>VLOOKUP(B308,'Costo de Materiales'!B$4:D$350,3,FALSE)</f>
        <v>0.84211251580157165</v>
      </c>
      <c r="F308" s="206">
        <f t="shared" si="27"/>
        <v>5.894787610611002E-2</v>
      </c>
      <c r="G308" s="302"/>
      <c r="H308" s="83"/>
      <c r="I308" s="53"/>
      <c r="J308" s="53"/>
      <c r="K308" s="58"/>
    </row>
    <row r="309" spans="1:11" s="3" customFormat="1" ht="12" customHeight="1" x14ac:dyDescent="0.2">
      <c r="A309" s="205"/>
      <c r="B309" s="12" t="s">
        <v>10</v>
      </c>
      <c r="C309" s="11" t="s">
        <v>33</v>
      </c>
      <c r="D309" s="11">
        <v>7.0000000000000007E-2</v>
      </c>
      <c r="E309" s="44">
        <f>VLOOKUP(B309,'Costo de Materiales'!B$4:D$350,3,FALSE)</f>
        <v>0.35088021491732146</v>
      </c>
      <c r="F309" s="206">
        <f t="shared" si="27"/>
        <v>2.4561615044212504E-2</v>
      </c>
      <c r="G309" s="302"/>
      <c r="H309" s="83"/>
      <c r="I309" s="53"/>
      <c r="J309" s="53"/>
      <c r="K309" s="58"/>
    </row>
    <row r="310" spans="1:11" s="3" customFormat="1" ht="12" customHeight="1" x14ac:dyDescent="0.2">
      <c r="A310" s="207"/>
      <c r="B310" s="26" t="s">
        <v>109</v>
      </c>
      <c r="C310" s="23" t="s">
        <v>11</v>
      </c>
      <c r="D310" s="80">
        <f>VLOOKUP(B310,'Costo de Materiales'!B$4:D$350,3,FALSE)</f>
        <v>0.28999999999999998</v>
      </c>
      <c r="E310" s="45">
        <f>SUM(F308:F309)</f>
        <v>8.3509491150322523E-2</v>
      </c>
      <c r="F310" s="208">
        <f t="shared" si="27"/>
        <v>2.4217752433593531E-2</v>
      </c>
      <c r="G310" s="302"/>
      <c r="H310" s="83"/>
      <c r="I310" s="53"/>
      <c r="J310" s="53"/>
      <c r="K310" s="58"/>
    </row>
    <row r="311" spans="1:11" s="1" customFormat="1" ht="12" customHeight="1" x14ac:dyDescent="0.2">
      <c r="A311" s="209">
        <v>38</v>
      </c>
      <c r="B311" s="93" t="s">
        <v>472</v>
      </c>
      <c r="C311" s="91" t="s">
        <v>38</v>
      </c>
      <c r="D311" s="95"/>
      <c r="E311" s="94"/>
      <c r="F311" s="210">
        <f>SUM(F312:F318)</f>
        <v>0.17860604390410278</v>
      </c>
      <c r="G311" s="303"/>
      <c r="H311" s="83"/>
      <c r="I311" s="53"/>
      <c r="J311" s="53"/>
      <c r="K311" s="62"/>
    </row>
    <row r="312" spans="1:11" s="3" customFormat="1" ht="12" customHeight="1" x14ac:dyDescent="0.2">
      <c r="A312" s="205"/>
      <c r="B312" s="12" t="s">
        <v>8</v>
      </c>
      <c r="C312" s="11" t="s">
        <v>19</v>
      </c>
      <c r="D312" s="11">
        <v>0.1</v>
      </c>
      <c r="E312" s="44">
        <f>VLOOKUP(B312,'Costo de Materiales'!B$4:D$350,3,FALSE)</f>
        <v>0.15330562338073847</v>
      </c>
      <c r="F312" s="206">
        <f>D312*E312</f>
        <v>1.5330562338073847E-2</v>
      </c>
      <c r="G312" s="302"/>
      <c r="H312" s="83"/>
      <c r="I312" s="53"/>
      <c r="J312" s="53"/>
      <c r="K312" s="58"/>
    </row>
    <row r="313" spans="1:11" s="3" customFormat="1" ht="12" customHeight="1" x14ac:dyDescent="0.2">
      <c r="A313" s="205"/>
      <c r="B313" s="12" t="s">
        <v>22</v>
      </c>
      <c r="C313" s="11" t="s">
        <v>6</v>
      </c>
      <c r="D313" s="11">
        <v>2.8299999999999999E-2</v>
      </c>
      <c r="E313" s="44">
        <f>VLOOKUP(B313,'Costo de Materiales'!B$4:D$350,3,FALSE)</f>
        <v>0.328007463222171</v>
      </c>
      <c r="F313" s="206">
        <f t="shared" ref="F313:F318" si="28">D313*E313</f>
        <v>9.2826112091874396E-3</v>
      </c>
      <c r="G313" s="302"/>
      <c r="H313" s="83"/>
      <c r="I313" s="53"/>
      <c r="J313" s="53"/>
      <c r="K313" s="58"/>
    </row>
    <row r="314" spans="1:11" s="3" customFormat="1" ht="12" customHeight="1" x14ac:dyDescent="0.2">
      <c r="A314" s="205"/>
      <c r="B314" s="12" t="s">
        <v>192</v>
      </c>
      <c r="C314" s="21" t="s">
        <v>20</v>
      </c>
      <c r="D314" s="21">
        <v>0.12</v>
      </c>
      <c r="E314" s="44">
        <f>VLOOKUP(B314,'Costo de Materiales'!B$4:D$350,3,FALSE)</f>
        <v>2.7464351367619433E-2</v>
      </c>
      <c r="F314" s="206">
        <f t="shared" si="28"/>
        <v>3.295722164114332E-3</v>
      </c>
      <c r="G314" s="302"/>
      <c r="H314" s="83"/>
      <c r="I314" s="53"/>
      <c r="J314" s="53"/>
      <c r="K314" s="58"/>
    </row>
    <row r="315" spans="1:11" s="3" customFormat="1" ht="12" customHeight="1" x14ac:dyDescent="0.2">
      <c r="A315" s="205"/>
      <c r="B315" s="12" t="s">
        <v>111</v>
      </c>
      <c r="C315" s="11" t="s">
        <v>11</v>
      </c>
      <c r="D315" s="11">
        <v>0.08</v>
      </c>
      <c r="E315" s="44">
        <f>SUM(F312:F314)</f>
        <v>2.7908895711375618E-2</v>
      </c>
      <c r="F315" s="206">
        <f t="shared" si="28"/>
        <v>2.2327116569100494E-3</v>
      </c>
      <c r="G315" s="302"/>
      <c r="H315" s="83"/>
      <c r="I315" s="53"/>
      <c r="J315" s="53"/>
      <c r="K315" s="58"/>
    </row>
    <row r="316" spans="1:11" s="3" customFormat="1" ht="12" customHeight="1" x14ac:dyDescent="0.2">
      <c r="A316" s="205"/>
      <c r="B316" s="12" t="s">
        <v>96</v>
      </c>
      <c r="C316" s="11" t="s">
        <v>33</v>
      </c>
      <c r="D316" s="11">
        <v>0.12</v>
      </c>
      <c r="E316" s="44">
        <f>VLOOKUP(B316,'Costo de Materiales'!B$4:D$350,3,FALSE)</f>
        <v>0.92983256953090243</v>
      </c>
      <c r="F316" s="206">
        <f t="shared" si="28"/>
        <v>0.11157990834370829</v>
      </c>
      <c r="G316" s="302"/>
      <c r="H316" s="83"/>
      <c r="I316" s="53"/>
      <c r="J316" s="53"/>
      <c r="K316" s="58"/>
    </row>
    <row r="317" spans="1:11" s="3" customFormat="1" ht="12" customHeight="1" x14ac:dyDescent="0.2">
      <c r="A317" s="205"/>
      <c r="B317" s="12" t="s">
        <v>10</v>
      </c>
      <c r="C317" s="11" t="s">
        <v>33</v>
      </c>
      <c r="D317" s="11">
        <v>0.01</v>
      </c>
      <c r="E317" s="44">
        <f>VLOOKUP(B317,'Costo de Materiales'!B$4:D$350,3,FALSE)</f>
        <v>0.35088021491732146</v>
      </c>
      <c r="F317" s="206">
        <f t="shared" si="28"/>
        <v>3.5088021491732147E-3</v>
      </c>
      <c r="G317" s="302"/>
      <c r="H317" s="83"/>
      <c r="I317" s="53"/>
      <c r="J317" s="53"/>
      <c r="K317" s="58"/>
    </row>
    <row r="318" spans="1:11" s="3" customFormat="1" ht="12" customHeight="1" x14ac:dyDescent="0.2">
      <c r="A318" s="207"/>
      <c r="B318" s="26" t="s">
        <v>109</v>
      </c>
      <c r="C318" s="23" t="s">
        <v>11</v>
      </c>
      <c r="D318" s="80">
        <f>VLOOKUP(B318,'Costo de Materiales'!B$4:D$350,3,FALSE)</f>
        <v>0.28999999999999998</v>
      </c>
      <c r="E318" s="45">
        <f>SUM(F316:F317)</f>
        <v>0.11508871049288151</v>
      </c>
      <c r="F318" s="208">
        <f t="shared" si="28"/>
        <v>3.3375726042935636E-2</v>
      </c>
      <c r="G318" s="307"/>
      <c r="H318" s="83"/>
      <c r="I318" s="53"/>
      <c r="J318" s="53"/>
      <c r="K318" s="58"/>
    </row>
    <row r="319" spans="1:11" s="1" customFormat="1" ht="12" customHeight="1" x14ac:dyDescent="0.2">
      <c r="A319" s="209">
        <v>39</v>
      </c>
      <c r="B319" s="93" t="s">
        <v>643</v>
      </c>
      <c r="C319" s="91" t="s">
        <v>38</v>
      </c>
      <c r="D319" s="95"/>
      <c r="E319" s="94"/>
      <c r="F319" s="210">
        <f>SUM(F320:F324)</f>
        <v>0.18116652969344699</v>
      </c>
      <c r="G319" s="302"/>
      <c r="H319" s="83"/>
      <c r="I319" s="53"/>
      <c r="J319" s="53"/>
      <c r="K319" s="62"/>
    </row>
    <row r="320" spans="1:11" s="3" customFormat="1" ht="12" customHeight="1" x14ac:dyDescent="0.2">
      <c r="A320" s="205"/>
      <c r="B320" s="12" t="s">
        <v>642</v>
      </c>
      <c r="C320" s="11" t="s">
        <v>19</v>
      </c>
      <c r="D320" s="11">
        <v>0.2</v>
      </c>
      <c r="E320" s="44">
        <f>VLOOKUP(B320,'Costo de Materiales'!B$4:D$350,3,FALSE)</f>
        <v>0.14864587798922665</v>
      </c>
      <c r="F320" s="206">
        <f>D320*E320</f>
        <v>2.9729175597845332E-2</v>
      </c>
      <c r="G320" s="302"/>
      <c r="H320" s="83"/>
      <c r="I320" s="53"/>
      <c r="J320" s="53"/>
      <c r="K320" s="58"/>
    </row>
    <row r="321" spans="1:11" s="3" customFormat="1" ht="12" customHeight="1" x14ac:dyDescent="0.2">
      <c r="A321" s="205"/>
      <c r="B321" s="12" t="s">
        <v>111</v>
      </c>
      <c r="C321" s="11" t="s">
        <v>11</v>
      </c>
      <c r="D321" s="11">
        <v>0.1</v>
      </c>
      <c r="E321" s="44">
        <f>SUM(F320:F320)</f>
        <v>2.9729175597845332E-2</v>
      </c>
      <c r="F321" s="206">
        <f>D321*E321</f>
        <v>2.9729175597845332E-3</v>
      </c>
      <c r="G321" s="302"/>
      <c r="H321" s="83"/>
      <c r="I321" s="53"/>
      <c r="J321" s="53"/>
      <c r="K321" s="58"/>
    </row>
    <row r="322" spans="1:11" s="3" customFormat="1" ht="12" customHeight="1" x14ac:dyDescent="0.2">
      <c r="A322" s="205"/>
      <c r="B322" s="12" t="s">
        <v>96</v>
      </c>
      <c r="C322" s="11" t="s">
        <v>33</v>
      </c>
      <c r="D322" s="11">
        <v>0.12</v>
      </c>
      <c r="E322" s="44">
        <f>VLOOKUP(B322,'Costo de Materiales'!B$4:D$350,3,FALSE)</f>
        <v>0.92983256953090243</v>
      </c>
      <c r="F322" s="206">
        <f>D322*E322</f>
        <v>0.11157990834370829</v>
      </c>
      <c r="G322" s="302"/>
      <c r="H322" s="83"/>
      <c r="I322" s="53"/>
      <c r="J322" s="53"/>
      <c r="K322" s="58"/>
    </row>
    <row r="323" spans="1:11" s="3" customFormat="1" ht="12" customHeight="1" x14ac:dyDescent="0.2">
      <c r="A323" s="205"/>
      <c r="B323" s="12" t="s">
        <v>10</v>
      </c>
      <c r="C323" s="11" t="s">
        <v>33</v>
      </c>
      <c r="D323" s="11">
        <v>0.01</v>
      </c>
      <c r="E323" s="44">
        <f>VLOOKUP(B323,'Costo de Materiales'!B$4:D$350,3,FALSE)</f>
        <v>0.35088021491732146</v>
      </c>
      <c r="F323" s="206">
        <f>D323*E323</f>
        <v>3.5088021491732147E-3</v>
      </c>
      <c r="G323" s="302"/>
      <c r="H323" s="83"/>
      <c r="I323" s="53"/>
      <c r="J323" s="53"/>
      <c r="K323" s="58"/>
    </row>
    <row r="324" spans="1:11" s="3" customFormat="1" ht="12" customHeight="1" x14ac:dyDescent="0.2">
      <c r="A324" s="207"/>
      <c r="B324" s="26" t="s">
        <v>109</v>
      </c>
      <c r="C324" s="23" t="s">
        <v>11</v>
      </c>
      <c r="D324" s="80">
        <f>VLOOKUP(B324,'Costo de Materiales'!B$4:D$350,3,FALSE)</f>
        <v>0.28999999999999998</v>
      </c>
      <c r="E324" s="45">
        <f>SUM(F322:F323)</f>
        <v>0.11508871049288151</v>
      </c>
      <c r="F324" s="208">
        <f>D324*E324</f>
        <v>3.3375726042935636E-2</v>
      </c>
      <c r="G324" s="302"/>
      <c r="H324" s="83"/>
      <c r="I324" s="53"/>
      <c r="J324" s="53"/>
      <c r="K324" s="58"/>
    </row>
    <row r="325" spans="1:11" s="3" customFormat="1" ht="12" customHeight="1" x14ac:dyDescent="0.2">
      <c r="A325" s="209">
        <v>40</v>
      </c>
      <c r="B325" s="93" t="s">
        <v>191</v>
      </c>
      <c r="C325" s="91" t="s">
        <v>38</v>
      </c>
      <c r="D325" s="95"/>
      <c r="E325" s="94"/>
      <c r="F325" s="210">
        <f>SUM(F326:F331)</f>
        <v>0.17504666396685931</v>
      </c>
      <c r="G325" s="303"/>
      <c r="H325" s="83"/>
      <c r="I325" s="53"/>
      <c r="J325" s="53"/>
      <c r="K325" s="58"/>
    </row>
    <row r="326" spans="1:11" s="3" customFormat="1" ht="12" customHeight="1" x14ac:dyDescent="0.2">
      <c r="A326" s="205"/>
      <c r="B326" s="12" t="s">
        <v>8</v>
      </c>
      <c r="C326" s="11" t="s">
        <v>242</v>
      </c>
      <c r="D326" s="11">
        <v>0.1</v>
      </c>
      <c r="E326" s="44">
        <f>VLOOKUP(B326,'Costo de Materiales'!B$4:D$350,3,FALSE)</f>
        <v>0.15330562338073847</v>
      </c>
      <c r="F326" s="206">
        <f t="shared" ref="F326:F331" si="29">D326*E326</f>
        <v>1.5330562338073847E-2</v>
      </c>
      <c r="G326" s="302"/>
      <c r="H326" s="83"/>
      <c r="I326" s="53"/>
      <c r="J326" s="53"/>
      <c r="K326" s="58"/>
    </row>
    <row r="327" spans="1:11" s="3" customFormat="1" ht="12" customHeight="1" x14ac:dyDescent="0.2">
      <c r="A327" s="205"/>
      <c r="B327" s="12" t="s">
        <v>22</v>
      </c>
      <c r="C327" s="11" t="s">
        <v>6</v>
      </c>
      <c r="D327" s="11">
        <v>2.8299999999999999E-2</v>
      </c>
      <c r="E327" s="44">
        <f>VLOOKUP(B327,'Costo de Materiales'!B$4:D$350,3,FALSE)</f>
        <v>0.328007463222171</v>
      </c>
      <c r="F327" s="206">
        <f t="shared" si="29"/>
        <v>9.2826112091874396E-3</v>
      </c>
      <c r="G327" s="302"/>
      <c r="H327" s="83"/>
      <c r="I327" s="53"/>
      <c r="J327" s="53"/>
      <c r="K327" s="58"/>
    </row>
    <row r="328" spans="1:11" s="3" customFormat="1" ht="12" customHeight="1" x14ac:dyDescent="0.2">
      <c r="A328" s="205"/>
      <c r="B328" s="12" t="s">
        <v>111</v>
      </c>
      <c r="C328" s="11" t="s">
        <v>11</v>
      </c>
      <c r="D328" s="11">
        <v>0.08</v>
      </c>
      <c r="E328" s="44">
        <f>SUM(F326:F327)</f>
        <v>2.4613173547261287E-2</v>
      </c>
      <c r="F328" s="206">
        <f t="shared" si="29"/>
        <v>1.9690538837809032E-3</v>
      </c>
      <c r="G328" s="302"/>
      <c r="H328" s="83"/>
      <c r="I328" s="53"/>
      <c r="J328" s="53"/>
      <c r="K328" s="58"/>
    </row>
    <row r="329" spans="1:11" s="3" customFormat="1" ht="12" customHeight="1" x14ac:dyDescent="0.2">
      <c r="A329" s="205"/>
      <c r="B329" s="12" t="s">
        <v>96</v>
      </c>
      <c r="C329" s="11" t="s">
        <v>33</v>
      </c>
      <c r="D329" s="11">
        <v>0.12</v>
      </c>
      <c r="E329" s="44">
        <f>VLOOKUP(B329,'Costo de Materiales'!B$4:D$350,3,FALSE)</f>
        <v>0.92983256953090243</v>
      </c>
      <c r="F329" s="206">
        <f t="shared" si="29"/>
        <v>0.11157990834370829</v>
      </c>
      <c r="G329" s="302"/>
      <c r="H329" s="83"/>
      <c r="I329" s="53"/>
      <c r="J329" s="53"/>
      <c r="K329" s="58"/>
    </row>
    <row r="330" spans="1:11" s="3" customFormat="1" ht="12" customHeight="1" x14ac:dyDescent="0.2">
      <c r="A330" s="205"/>
      <c r="B330" s="12" t="s">
        <v>10</v>
      </c>
      <c r="C330" s="11" t="s">
        <v>33</v>
      </c>
      <c r="D330" s="11">
        <v>0.01</v>
      </c>
      <c r="E330" s="44">
        <f>VLOOKUP(B330,'Costo de Materiales'!B$4:D$350,3,FALSE)</f>
        <v>0.35088021491732146</v>
      </c>
      <c r="F330" s="206">
        <f t="shared" si="29"/>
        <v>3.5088021491732147E-3</v>
      </c>
      <c r="G330" s="302"/>
      <c r="H330" s="83"/>
      <c r="I330" s="53"/>
      <c r="J330" s="53"/>
      <c r="K330" s="58"/>
    </row>
    <row r="331" spans="1:11" s="3" customFormat="1" ht="12" customHeight="1" x14ac:dyDescent="0.2">
      <c r="A331" s="207"/>
      <c r="B331" s="26" t="s">
        <v>109</v>
      </c>
      <c r="C331" s="23" t="s">
        <v>11</v>
      </c>
      <c r="D331" s="80">
        <f>VLOOKUP(B331,'Costo de Materiales'!B$4:D$350,3,FALSE)</f>
        <v>0.28999999999999998</v>
      </c>
      <c r="E331" s="45">
        <f>SUM(F329:F330)</f>
        <v>0.11508871049288151</v>
      </c>
      <c r="F331" s="208">
        <f t="shared" si="29"/>
        <v>3.3375726042935636E-2</v>
      </c>
      <c r="G331" s="307"/>
      <c r="H331" s="83"/>
      <c r="I331" s="53"/>
      <c r="J331" s="53"/>
      <c r="K331" s="58"/>
    </row>
    <row r="332" spans="1:11" s="3" customFormat="1" ht="12" customHeight="1" x14ac:dyDescent="0.2">
      <c r="A332" s="209">
        <v>41</v>
      </c>
      <c r="B332" s="93" t="s">
        <v>644</v>
      </c>
      <c r="C332" s="91" t="s">
        <v>38</v>
      </c>
      <c r="D332" s="95"/>
      <c r="E332" s="94"/>
      <c r="F332" s="210">
        <f>SUM(F333:F337)</f>
        <v>0.18157845118605664</v>
      </c>
      <c r="G332" s="302"/>
      <c r="H332" s="83"/>
      <c r="I332" s="53"/>
      <c r="J332" s="53"/>
      <c r="K332" s="58"/>
    </row>
    <row r="333" spans="1:11" s="3" customFormat="1" ht="12" customHeight="1" x14ac:dyDescent="0.2">
      <c r="A333" s="205"/>
      <c r="B333" s="12" t="s">
        <v>645</v>
      </c>
      <c r="C333" s="11" t="s">
        <v>242</v>
      </c>
      <c r="D333" s="11">
        <v>0.2</v>
      </c>
      <c r="E333" s="44">
        <f>VLOOKUP(B333,'Costo de Materiales'!B$4:D$350,3,FALSE)</f>
        <v>0.15330562338073847</v>
      </c>
      <c r="F333" s="206">
        <f>D333*E333</f>
        <v>3.0661124676147695E-2</v>
      </c>
      <c r="G333" s="302"/>
      <c r="H333" s="83"/>
      <c r="I333" s="53"/>
      <c r="J333" s="53"/>
      <c r="K333" s="58"/>
    </row>
    <row r="334" spans="1:11" s="3" customFormat="1" ht="12" customHeight="1" x14ac:dyDescent="0.2">
      <c r="A334" s="205"/>
      <c r="B334" s="12" t="s">
        <v>111</v>
      </c>
      <c r="C334" s="11" t="s">
        <v>11</v>
      </c>
      <c r="D334" s="11">
        <v>0.08</v>
      </c>
      <c r="E334" s="44">
        <f>SUM(F333:F333)</f>
        <v>3.0661124676147695E-2</v>
      </c>
      <c r="F334" s="206">
        <f>D334*E334</f>
        <v>2.4528899740918157E-3</v>
      </c>
      <c r="G334" s="302"/>
      <c r="H334" s="83"/>
      <c r="I334" s="53"/>
      <c r="J334" s="53"/>
      <c r="K334" s="58"/>
    </row>
    <row r="335" spans="1:11" s="3" customFormat="1" ht="12" customHeight="1" x14ac:dyDescent="0.2">
      <c r="A335" s="205"/>
      <c r="B335" s="12" t="s">
        <v>96</v>
      </c>
      <c r="C335" s="11" t="s">
        <v>33</v>
      </c>
      <c r="D335" s="11">
        <v>0.12</v>
      </c>
      <c r="E335" s="44">
        <f>VLOOKUP(B335,'Costo de Materiales'!B$4:D$350,3,FALSE)</f>
        <v>0.92983256953090243</v>
      </c>
      <c r="F335" s="206">
        <f>D335*E335</f>
        <v>0.11157990834370829</v>
      </c>
      <c r="G335" s="302"/>
      <c r="H335" s="83"/>
      <c r="I335" s="53"/>
      <c r="J335" s="53"/>
      <c r="K335" s="58"/>
    </row>
    <row r="336" spans="1:11" s="3" customFormat="1" ht="12" customHeight="1" x14ac:dyDescent="0.2">
      <c r="A336" s="205"/>
      <c r="B336" s="12" t="s">
        <v>10</v>
      </c>
      <c r="C336" s="11" t="s">
        <v>33</v>
      </c>
      <c r="D336" s="11">
        <v>0.01</v>
      </c>
      <c r="E336" s="44">
        <f>VLOOKUP(B336,'Costo de Materiales'!B$4:D$350,3,FALSE)</f>
        <v>0.35088021491732146</v>
      </c>
      <c r="F336" s="206">
        <f>D336*E336</f>
        <v>3.5088021491732147E-3</v>
      </c>
      <c r="G336" s="302"/>
      <c r="H336" s="83"/>
      <c r="I336" s="53"/>
      <c r="J336" s="53"/>
      <c r="K336" s="58"/>
    </row>
    <row r="337" spans="1:12" s="3" customFormat="1" ht="12" customHeight="1" x14ac:dyDescent="0.2">
      <c r="A337" s="207"/>
      <c r="B337" s="26" t="s">
        <v>109</v>
      </c>
      <c r="C337" s="23" t="s">
        <v>11</v>
      </c>
      <c r="D337" s="80">
        <f>VLOOKUP(B337,'Costo de Materiales'!B$4:D$350,3,FALSE)</f>
        <v>0.28999999999999998</v>
      </c>
      <c r="E337" s="45">
        <f>SUM(F335:F336)</f>
        <v>0.11508871049288151</v>
      </c>
      <c r="F337" s="208">
        <f>D337*E337</f>
        <v>3.3375726042935636E-2</v>
      </c>
      <c r="G337" s="302"/>
      <c r="H337" s="83"/>
      <c r="I337" s="53"/>
      <c r="J337" s="53"/>
      <c r="K337" s="58"/>
    </row>
    <row r="338" spans="1:12" ht="12" customHeight="1" x14ac:dyDescent="0.2">
      <c r="A338" s="213">
        <v>42</v>
      </c>
      <c r="B338" s="99" t="s">
        <v>404</v>
      </c>
      <c r="C338" s="91" t="s">
        <v>6</v>
      </c>
      <c r="D338" s="91"/>
      <c r="E338" s="92"/>
      <c r="F338" s="210">
        <f>SUM(F339:F343)</f>
        <v>0.19399728650332876</v>
      </c>
      <c r="G338" s="303"/>
      <c r="H338" s="83"/>
      <c r="I338" s="53"/>
      <c r="J338" s="53"/>
      <c r="L338" s="108"/>
    </row>
    <row r="339" spans="1:12" s="3" customFormat="1" ht="12" customHeight="1" x14ac:dyDescent="0.2">
      <c r="A339" s="214"/>
      <c r="B339" s="12" t="s">
        <v>2</v>
      </c>
      <c r="C339" s="11" t="s">
        <v>17</v>
      </c>
      <c r="D339" s="11">
        <v>1.4999999999999999E-2</v>
      </c>
      <c r="E339" s="44">
        <f>VLOOKUP(B339,'Costo de Materiales'!B$4:D$350,3,FALSE)</f>
        <v>0.43383148754391188</v>
      </c>
      <c r="F339" s="206">
        <f>D339*E339</f>
        <v>6.5074723131586781E-3</v>
      </c>
      <c r="G339" s="302"/>
      <c r="H339" s="83"/>
      <c r="I339" s="53"/>
      <c r="J339" s="53"/>
      <c r="K339" s="58"/>
    </row>
    <row r="340" spans="1:12" s="3" customFormat="1" ht="12" customHeight="1" x14ac:dyDescent="0.2">
      <c r="A340" s="214"/>
      <c r="B340" s="12" t="s">
        <v>25</v>
      </c>
      <c r="C340" s="11" t="s">
        <v>17</v>
      </c>
      <c r="D340" s="11">
        <v>1.4999999999999999E-2</v>
      </c>
      <c r="E340" s="44">
        <f>VLOOKUP(B340,'Costo de Materiales'!B$4:D$350,3,FALSE)</f>
        <v>0.36148636686823138</v>
      </c>
      <c r="F340" s="206">
        <f>D340*E340</f>
        <v>5.4222955030234707E-3</v>
      </c>
      <c r="G340" s="302"/>
      <c r="H340" s="83"/>
      <c r="I340" s="53"/>
      <c r="J340" s="53"/>
      <c r="K340" s="58"/>
    </row>
    <row r="341" spans="1:12" s="3" customFormat="1" ht="12" customHeight="1" x14ac:dyDescent="0.2">
      <c r="A341" s="214"/>
      <c r="B341" s="12" t="s">
        <v>3</v>
      </c>
      <c r="C341" s="11" t="s">
        <v>17</v>
      </c>
      <c r="D341" s="11">
        <v>5.0000000000000001E-3</v>
      </c>
      <c r="E341" s="44">
        <f>VLOOKUP(B341,'Costo de Materiales'!B$4:D$350,3,FALSE)</f>
        <v>0.20062373742931758</v>
      </c>
      <c r="F341" s="206">
        <f>D341*E341</f>
        <v>1.003118687146588E-3</v>
      </c>
      <c r="G341" s="302"/>
      <c r="H341" s="83"/>
      <c r="I341" s="53"/>
      <c r="J341" s="53"/>
      <c r="K341" s="58"/>
    </row>
    <row r="342" spans="1:12" s="3" customFormat="1" ht="12" customHeight="1" x14ac:dyDescent="0.2">
      <c r="A342" s="214"/>
      <c r="B342" s="17" t="s">
        <v>1</v>
      </c>
      <c r="C342" s="11" t="s">
        <v>33</v>
      </c>
      <c r="D342" s="11">
        <v>0.4</v>
      </c>
      <c r="E342" s="44">
        <f>VLOOKUP(B342,'Costo de Materiales'!B$4:D$350,3,FALSE)</f>
        <v>0.35090000000000005</v>
      </c>
      <c r="F342" s="206">
        <f>D342*E342</f>
        <v>0.14036000000000001</v>
      </c>
      <c r="G342" s="302"/>
      <c r="H342" s="83"/>
      <c r="I342" s="53"/>
      <c r="J342" s="53"/>
      <c r="K342" s="58"/>
    </row>
    <row r="343" spans="1:12" s="3" customFormat="1" ht="12" customHeight="1" x14ac:dyDescent="0.2">
      <c r="A343" s="215"/>
      <c r="B343" s="26" t="s">
        <v>109</v>
      </c>
      <c r="C343" s="23" t="s">
        <v>11</v>
      </c>
      <c r="D343" s="80">
        <f>VLOOKUP(B343,'Costo de Materiales'!B$4:D$350,3,FALSE)</f>
        <v>0.28999999999999998</v>
      </c>
      <c r="E343" s="45">
        <f>F342</f>
        <v>0.14036000000000001</v>
      </c>
      <c r="F343" s="208">
        <f>F342*D343</f>
        <v>4.0704400000000002E-2</v>
      </c>
      <c r="G343" s="307"/>
      <c r="H343" s="83"/>
      <c r="I343" s="53"/>
      <c r="J343" s="53"/>
      <c r="K343" s="58"/>
    </row>
    <row r="344" spans="1:12" s="14" customFormat="1" ht="12" customHeight="1" x14ac:dyDescent="0.2">
      <c r="A344" s="213">
        <v>43</v>
      </c>
      <c r="B344" s="99" t="s">
        <v>473</v>
      </c>
      <c r="C344" s="91" t="s">
        <v>6</v>
      </c>
      <c r="D344" s="91"/>
      <c r="E344" s="92"/>
      <c r="F344" s="210">
        <f>SUM(F345:F348)</f>
        <v>6.4230755084081825E-2</v>
      </c>
      <c r="G344" s="302"/>
      <c r="H344" s="83"/>
      <c r="I344" s="53"/>
      <c r="J344" s="53"/>
      <c r="K344" s="63"/>
    </row>
    <row r="345" spans="1:12" s="41" customFormat="1" ht="12" customHeight="1" x14ac:dyDescent="0.2">
      <c r="A345" s="214"/>
      <c r="B345" s="12" t="s">
        <v>184</v>
      </c>
      <c r="C345" s="11" t="s">
        <v>650</v>
      </c>
      <c r="D345" s="11">
        <v>7.0000000000000007E-2</v>
      </c>
      <c r="E345" s="44">
        <f>VLOOKUP(B345,'Costo de Materiales'!B$4:D$350,3,FALSE)</f>
        <v>0.57416762441016245</v>
      </c>
      <c r="F345" s="206">
        <f>D345*E345</f>
        <v>4.0191733708711375E-2</v>
      </c>
      <c r="G345" s="302"/>
      <c r="H345" s="83"/>
      <c r="I345" s="53"/>
      <c r="J345" s="53"/>
      <c r="K345" s="66"/>
    </row>
    <row r="346" spans="1:12" s="41" customFormat="1" ht="12" customHeight="1" x14ac:dyDescent="0.2">
      <c r="A346" s="214"/>
      <c r="B346" s="12" t="s">
        <v>24</v>
      </c>
      <c r="C346" s="11" t="s">
        <v>20</v>
      </c>
      <c r="D346" s="11">
        <v>0.33</v>
      </c>
      <c r="E346" s="44">
        <f>VLOOKUP(B346,'Costo de Materiales'!B$4:D$350,3,FALSE)</f>
        <v>2.343851931930439E-2</v>
      </c>
      <c r="F346" s="206">
        <f>D346*E346</f>
        <v>7.7347113753704492E-3</v>
      </c>
      <c r="G346" s="302"/>
      <c r="H346" s="83"/>
      <c r="I346" s="53"/>
      <c r="J346" s="53"/>
      <c r="K346" s="66"/>
    </row>
    <row r="347" spans="1:12" s="41" customFormat="1" ht="12" customHeight="1" x14ac:dyDescent="0.2">
      <c r="A347" s="214"/>
      <c r="B347" s="12" t="s">
        <v>127</v>
      </c>
      <c r="C347" s="11" t="s">
        <v>33</v>
      </c>
      <c r="D347" s="11">
        <v>1.4999999999999999E-2</v>
      </c>
      <c r="E347" s="44">
        <f>VLOOKUP(B347,'Costo de Materiales'!B$4:D$350,3,FALSE)</f>
        <v>0.84260000000000024</v>
      </c>
      <c r="F347" s="206">
        <f>D347*E347</f>
        <v>1.2639000000000003E-2</v>
      </c>
      <c r="G347" s="302"/>
      <c r="H347" s="83"/>
      <c r="I347" s="53"/>
      <c r="J347" s="53"/>
      <c r="K347" s="66"/>
    </row>
    <row r="348" spans="1:12" s="41" customFormat="1" ht="12" customHeight="1" x14ac:dyDescent="0.2">
      <c r="A348" s="214"/>
      <c r="B348" s="26" t="s">
        <v>109</v>
      </c>
      <c r="C348" s="23" t="s">
        <v>11</v>
      </c>
      <c r="D348" s="80">
        <f>VLOOKUP(B348,'Costo de Materiales'!B$4:D$350,3,FALSE)</f>
        <v>0.28999999999999998</v>
      </c>
      <c r="E348" s="44">
        <f>F347</f>
        <v>1.2639000000000003E-2</v>
      </c>
      <c r="F348" s="206">
        <f>D348*E348</f>
        <v>3.6653100000000006E-3</v>
      </c>
      <c r="G348" s="302"/>
      <c r="H348" s="83"/>
      <c r="I348" s="53"/>
      <c r="J348" s="53"/>
      <c r="K348" s="66"/>
    </row>
    <row r="349" spans="1:12" ht="12" customHeight="1" x14ac:dyDescent="0.2">
      <c r="A349" s="209">
        <v>44</v>
      </c>
      <c r="B349" s="88" t="s">
        <v>562</v>
      </c>
      <c r="C349" s="91" t="s">
        <v>18</v>
      </c>
      <c r="D349" s="91"/>
      <c r="E349" s="92"/>
      <c r="F349" s="210">
        <f>SUM(F350:F356)</f>
        <v>8.6065333945603686E-2</v>
      </c>
      <c r="G349" s="303"/>
      <c r="H349" s="83"/>
      <c r="I349" s="79"/>
      <c r="J349" s="53"/>
    </row>
    <row r="350" spans="1:12" s="3" customFormat="1" ht="12" customHeight="1" x14ac:dyDescent="0.2">
      <c r="A350" s="205"/>
      <c r="B350" s="12" t="s">
        <v>322</v>
      </c>
      <c r="C350" s="11" t="s">
        <v>17</v>
      </c>
      <c r="D350" s="11">
        <v>6</v>
      </c>
      <c r="E350" s="109">
        <f>VLOOKUP(B350,'Costo de Materiales'!B$4:D$350,3,FALSE)</f>
        <v>4.1471733984455088E-4</v>
      </c>
      <c r="F350" s="206">
        <f t="shared" ref="F350:F356" si="30">D350*E350</f>
        <v>2.4883040390673052E-3</v>
      </c>
      <c r="G350" s="302"/>
      <c r="H350" s="83"/>
      <c r="I350" s="53"/>
      <c r="J350" s="53"/>
      <c r="K350" s="58"/>
      <c r="L350" s="41"/>
    </row>
    <row r="351" spans="1:12" s="3" customFormat="1" ht="12" customHeight="1" x14ac:dyDescent="0.2">
      <c r="A351" s="205"/>
      <c r="B351" s="12" t="s">
        <v>566</v>
      </c>
      <c r="C351" s="11" t="s">
        <v>18</v>
      </c>
      <c r="D351" s="11">
        <v>1</v>
      </c>
      <c r="E351" s="44">
        <f>VLOOKUP(B351,'Costo de Materiales'!B$4:D$350,3,FALSE)</f>
        <v>5.1257199306629884E-2</v>
      </c>
      <c r="F351" s="206">
        <f t="shared" si="30"/>
        <v>5.1257199306629884E-2</v>
      </c>
      <c r="G351" s="302"/>
      <c r="H351" s="83"/>
      <c r="I351" s="53"/>
      <c r="J351" s="53"/>
      <c r="K351" s="58"/>
    </row>
    <row r="352" spans="1:12" s="3" customFormat="1" ht="12" customHeight="1" x14ac:dyDescent="0.2">
      <c r="A352" s="205"/>
      <c r="B352" s="12" t="s">
        <v>0</v>
      </c>
      <c r="C352" s="11" t="s">
        <v>18</v>
      </c>
      <c r="D352" s="11">
        <v>0.02</v>
      </c>
      <c r="E352" s="44">
        <f>VLOOKUP(B352,'Costo de Materiales'!B$4:D$350,3,FALSE)</f>
        <v>4.7054108963486233E-2</v>
      </c>
      <c r="F352" s="206">
        <f t="shared" si="30"/>
        <v>9.410821792697247E-4</v>
      </c>
      <c r="G352" s="302"/>
      <c r="H352" s="83"/>
      <c r="I352" s="53"/>
      <c r="J352" s="53"/>
      <c r="K352" s="58"/>
    </row>
    <row r="353" spans="1:12" s="3" customFormat="1" ht="12" customHeight="1" x14ac:dyDescent="0.2">
      <c r="A353" s="205"/>
      <c r="B353" s="12" t="s">
        <v>111</v>
      </c>
      <c r="C353" s="11" t="s">
        <v>11</v>
      </c>
      <c r="D353" s="11">
        <v>0.03</v>
      </c>
      <c r="E353" s="44">
        <f>SUM(F350:F352)</f>
        <v>5.468658552496692E-2</v>
      </c>
      <c r="F353" s="206">
        <f t="shared" si="30"/>
        <v>1.6405975657490075E-3</v>
      </c>
      <c r="G353" s="302"/>
      <c r="H353" s="83"/>
      <c r="I353" s="53"/>
      <c r="J353" s="53"/>
      <c r="K353" s="58"/>
    </row>
    <row r="354" spans="1:12" s="3" customFormat="1" ht="12" customHeight="1" x14ac:dyDescent="0.2">
      <c r="A354" s="205"/>
      <c r="B354" s="12" t="s">
        <v>96</v>
      </c>
      <c r="C354" s="11" t="s">
        <v>33</v>
      </c>
      <c r="D354" s="11">
        <v>1.7999999999999999E-2</v>
      </c>
      <c r="E354" s="44">
        <f>VLOOKUP(B354,'Costo de Materiales'!B$4:D$350,3,FALSE)</f>
        <v>0.92983256953090243</v>
      </c>
      <c r="F354" s="206">
        <f t="shared" si="30"/>
        <v>1.6736986251556243E-2</v>
      </c>
      <c r="G354" s="302"/>
      <c r="H354" s="83"/>
      <c r="I354" s="53"/>
      <c r="J354" s="53"/>
      <c r="K354" s="58"/>
    </row>
    <row r="355" spans="1:12" s="3" customFormat="1" ht="12" customHeight="1" x14ac:dyDescent="0.2">
      <c r="A355" s="205"/>
      <c r="B355" s="12" t="s">
        <v>10</v>
      </c>
      <c r="C355" s="11" t="s">
        <v>33</v>
      </c>
      <c r="D355" s="11">
        <v>1.7999999999999999E-2</v>
      </c>
      <c r="E355" s="44">
        <f>VLOOKUP(B355,'Costo de Materiales'!B$4:D$350,3,FALSE)</f>
        <v>0.35088021491732146</v>
      </c>
      <c r="F355" s="206">
        <f t="shared" si="30"/>
        <v>6.3158438685117857E-3</v>
      </c>
      <c r="G355" s="302"/>
      <c r="H355" s="83"/>
      <c r="I355" s="53"/>
      <c r="J355" s="53"/>
      <c r="K355" s="58"/>
    </row>
    <row r="356" spans="1:12" s="3" customFormat="1" ht="12" customHeight="1" x14ac:dyDescent="0.2">
      <c r="A356" s="207"/>
      <c r="B356" s="26" t="s">
        <v>109</v>
      </c>
      <c r="C356" s="23" t="s">
        <v>11</v>
      </c>
      <c r="D356" s="80">
        <f>VLOOKUP(B356,'Costo de Materiales'!B$4:D$350,3,FALSE)</f>
        <v>0.28999999999999998</v>
      </c>
      <c r="E356" s="45">
        <f>SUM(F354:F355)</f>
        <v>2.3052830120068028E-2</v>
      </c>
      <c r="F356" s="208">
        <f t="shared" si="30"/>
        <v>6.6853207348197274E-3</v>
      </c>
      <c r="G356" s="307"/>
      <c r="H356" s="83"/>
      <c r="I356" s="53"/>
      <c r="J356" s="53"/>
      <c r="K356" s="58"/>
    </row>
    <row r="357" spans="1:12" ht="12" customHeight="1" x14ac:dyDescent="0.2">
      <c r="A357" s="209">
        <v>45</v>
      </c>
      <c r="B357" s="88" t="s">
        <v>225</v>
      </c>
      <c r="C357" s="91" t="s">
        <v>18</v>
      </c>
      <c r="D357" s="91"/>
      <c r="E357" s="92"/>
      <c r="F357" s="210">
        <f>SUM(F358:F364)</f>
        <v>8.6065333945603686E-2</v>
      </c>
      <c r="G357" s="302"/>
      <c r="H357" s="83"/>
      <c r="I357" s="79"/>
      <c r="J357" s="53"/>
    </row>
    <row r="358" spans="1:12" s="3" customFormat="1" ht="12" customHeight="1" x14ac:dyDescent="0.2">
      <c r="A358" s="205"/>
      <c r="B358" s="12" t="s">
        <v>322</v>
      </c>
      <c r="C358" s="11" t="s">
        <v>17</v>
      </c>
      <c r="D358" s="11">
        <v>6</v>
      </c>
      <c r="E358" s="109">
        <f>VLOOKUP(B358,'Costo de Materiales'!B$4:D$350,3,FALSE)</f>
        <v>4.1471733984455088E-4</v>
      </c>
      <c r="F358" s="206">
        <f t="shared" ref="F358:F364" si="31">D358*E358</f>
        <v>2.4883040390673052E-3</v>
      </c>
      <c r="G358" s="302"/>
      <c r="H358" s="83"/>
      <c r="I358" s="53"/>
      <c r="J358" s="53"/>
      <c r="K358" s="58"/>
      <c r="L358" s="41"/>
    </row>
    <row r="359" spans="1:12" s="3" customFormat="1" ht="12" customHeight="1" x14ac:dyDescent="0.2">
      <c r="A359" s="205"/>
      <c r="B359" s="12" t="s">
        <v>565</v>
      </c>
      <c r="C359" s="11" t="s">
        <v>18</v>
      </c>
      <c r="D359" s="11">
        <v>1</v>
      </c>
      <c r="E359" s="44">
        <f>VLOOKUP(B359,'Costo de Materiales'!B$4:D$350,3,FALSE)</f>
        <v>5.1257199306629884E-2</v>
      </c>
      <c r="F359" s="206">
        <f t="shared" si="31"/>
        <v>5.1257199306629884E-2</v>
      </c>
      <c r="G359" s="302"/>
      <c r="H359" s="83"/>
      <c r="I359" s="53"/>
      <c r="J359" s="53"/>
      <c r="K359" s="58"/>
    </row>
    <row r="360" spans="1:12" s="3" customFormat="1" ht="12" customHeight="1" x14ac:dyDescent="0.2">
      <c r="A360" s="205"/>
      <c r="B360" s="12" t="s">
        <v>0</v>
      </c>
      <c r="C360" s="11" t="s">
        <v>18</v>
      </c>
      <c r="D360" s="11">
        <v>0.02</v>
      </c>
      <c r="E360" s="44">
        <f>VLOOKUP(B360,'Costo de Materiales'!B$4:D$350,3,FALSE)</f>
        <v>4.7054108963486233E-2</v>
      </c>
      <c r="F360" s="206">
        <f t="shared" si="31"/>
        <v>9.410821792697247E-4</v>
      </c>
      <c r="G360" s="302"/>
      <c r="H360" s="83"/>
      <c r="I360" s="53"/>
      <c r="J360" s="53"/>
      <c r="K360" s="58"/>
    </row>
    <row r="361" spans="1:12" s="3" customFormat="1" ht="12" customHeight="1" x14ac:dyDescent="0.2">
      <c r="A361" s="205"/>
      <c r="B361" s="12" t="s">
        <v>111</v>
      </c>
      <c r="C361" s="11" t="s">
        <v>11</v>
      </c>
      <c r="D361" s="11">
        <v>0.03</v>
      </c>
      <c r="E361" s="44">
        <f>SUM(F358:F360)</f>
        <v>5.468658552496692E-2</v>
      </c>
      <c r="F361" s="206">
        <f t="shared" si="31"/>
        <v>1.6405975657490075E-3</v>
      </c>
      <c r="G361" s="302"/>
      <c r="H361" s="83"/>
      <c r="I361" s="53"/>
      <c r="J361" s="53"/>
      <c r="K361" s="58"/>
    </row>
    <row r="362" spans="1:12" s="3" customFormat="1" ht="12" customHeight="1" x14ac:dyDescent="0.2">
      <c r="A362" s="205"/>
      <c r="B362" s="12" t="s">
        <v>96</v>
      </c>
      <c r="C362" s="11" t="s">
        <v>33</v>
      </c>
      <c r="D362" s="11">
        <v>1.7999999999999999E-2</v>
      </c>
      <c r="E362" s="44">
        <f>VLOOKUP(B362,'Costo de Materiales'!B$4:D$350,3,FALSE)</f>
        <v>0.92983256953090243</v>
      </c>
      <c r="F362" s="206">
        <f t="shared" si="31"/>
        <v>1.6736986251556243E-2</v>
      </c>
      <c r="G362" s="302"/>
      <c r="H362" s="83"/>
      <c r="I362" s="53"/>
      <c r="J362" s="53"/>
      <c r="K362" s="58"/>
    </row>
    <row r="363" spans="1:12" s="3" customFormat="1" ht="12" customHeight="1" x14ac:dyDescent="0.2">
      <c r="A363" s="205"/>
      <c r="B363" s="12" t="s">
        <v>10</v>
      </c>
      <c r="C363" s="11" t="s">
        <v>33</v>
      </c>
      <c r="D363" s="11">
        <v>1.7999999999999999E-2</v>
      </c>
      <c r="E363" s="44">
        <f>VLOOKUP(B363,'Costo de Materiales'!B$4:D$350,3,FALSE)</f>
        <v>0.35088021491732146</v>
      </c>
      <c r="F363" s="206">
        <f t="shared" si="31"/>
        <v>6.3158438685117857E-3</v>
      </c>
      <c r="G363" s="302"/>
      <c r="H363" s="83"/>
      <c r="I363" s="53"/>
      <c r="J363" s="53"/>
      <c r="K363" s="58"/>
    </row>
    <row r="364" spans="1:12" s="3" customFormat="1" ht="12" customHeight="1" x14ac:dyDescent="0.2">
      <c r="A364" s="207"/>
      <c r="B364" s="26" t="s">
        <v>109</v>
      </c>
      <c r="C364" s="23" t="s">
        <v>11</v>
      </c>
      <c r="D364" s="80">
        <f>VLOOKUP(B364,'Costo de Materiales'!B$4:D$350,3,FALSE)</f>
        <v>0.28999999999999998</v>
      </c>
      <c r="E364" s="45">
        <f>SUM(F362:F363)</f>
        <v>2.3052830120068028E-2</v>
      </c>
      <c r="F364" s="208">
        <f t="shared" si="31"/>
        <v>6.6853207348197274E-3</v>
      </c>
      <c r="G364" s="302"/>
      <c r="H364" s="83"/>
      <c r="I364" s="53"/>
      <c r="J364" s="53"/>
      <c r="K364" s="58"/>
    </row>
    <row r="365" spans="1:12" ht="12" customHeight="1" x14ac:dyDescent="0.2">
      <c r="A365" s="209">
        <v>46</v>
      </c>
      <c r="B365" s="88" t="s">
        <v>224</v>
      </c>
      <c r="C365" s="91" t="s">
        <v>18</v>
      </c>
      <c r="D365" s="91"/>
      <c r="E365" s="92"/>
      <c r="F365" s="210">
        <f>SUM(F366:F372)</f>
        <v>8.1664448580485535E-2</v>
      </c>
      <c r="G365" s="303"/>
      <c r="H365" s="83"/>
      <c r="I365" s="53"/>
      <c r="J365" s="53"/>
    </row>
    <row r="366" spans="1:12" s="3" customFormat="1" ht="12" customHeight="1" x14ac:dyDescent="0.2">
      <c r="A366" s="205"/>
      <c r="B366" s="12" t="s">
        <v>322</v>
      </c>
      <c r="C366" s="11" t="s">
        <v>17</v>
      </c>
      <c r="D366" s="11">
        <v>4</v>
      </c>
      <c r="E366" s="109">
        <f>VLOOKUP(B366,'Costo de Materiales'!B$4:D$350,3,FALSE)</f>
        <v>4.1471733984455088E-4</v>
      </c>
      <c r="F366" s="206">
        <f t="shared" ref="F366:F372" si="32">D366*E366</f>
        <v>1.6588693593782035E-3</v>
      </c>
      <c r="G366" s="302"/>
      <c r="H366" s="83"/>
      <c r="I366" s="53"/>
      <c r="J366" s="53"/>
      <c r="K366" s="58"/>
      <c r="L366" s="41"/>
    </row>
    <row r="367" spans="1:12" s="3" customFormat="1" ht="12" customHeight="1" x14ac:dyDescent="0.2">
      <c r="A367" s="205"/>
      <c r="B367" s="10" t="s">
        <v>563</v>
      </c>
      <c r="C367" s="11" t="s">
        <v>18</v>
      </c>
      <c r="D367" s="11">
        <v>1</v>
      </c>
      <c r="E367" s="44">
        <f>VLOOKUP(B367,'Costo de Materiales'!B$4:D$350,3,FALSE)</f>
        <v>5.1257199306629884E-2</v>
      </c>
      <c r="F367" s="206">
        <f t="shared" si="32"/>
        <v>5.1257199306629884E-2</v>
      </c>
      <c r="G367" s="302"/>
      <c r="H367" s="83"/>
      <c r="I367" s="53"/>
      <c r="J367" s="53"/>
      <c r="K367" s="58"/>
    </row>
    <row r="368" spans="1:12" s="3" customFormat="1" ht="12" customHeight="1" x14ac:dyDescent="0.2">
      <c r="A368" s="205"/>
      <c r="B368" s="12" t="s">
        <v>0</v>
      </c>
      <c r="C368" s="11" t="s">
        <v>18</v>
      </c>
      <c r="D368" s="11">
        <v>1.4999999999999999E-2</v>
      </c>
      <c r="E368" s="44">
        <f>VLOOKUP(B368,'Costo de Materiales'!B$4:D$350,3,FALSE)</f>
        <v>4.7054108963486233E-2</v>
      </c>
      <c r="F368" s="206">
        <f t="shared" si="32"/>
        <v>7.0581163445229342E-4</v>
      </c>
      <c r="G368" s="302"/>
      <c r="H368" s="83"/>
      <c r="I368" s="53"/>
      <c r="J368" s="53"/>
      <c r="K368" s="58"/>
    </row>
    <row r="369" spans="1:12" s="3" customFormat="1" ht="12" customHeight="1" x14ac:dyDescent="0.2">
      <c r="A369" s="205"/>
      <c r="B369" s="12" t="s">
        <v>111</v>
      </c>
      <c r="C369" s="11" t="s">
        <v>11</v>
      </c>
      <c r="D369" s="11">
        <v>0.03</v>
      </c>
      <c r="E369" s="44">
        <f>SUM(F366:F368)</f>
        <v>5.3621880300460376E-2</v>
      </c>
      <c r="F369" s="206">
        <f t="shared" si="32"/>
        <v>1.6086564090138113E-3</v>
      </c>
      <c r="G369" s="302"/>
      <c r="H369" s="83"/>
      <c r="I369" s="53"/>
      <c r="J369" s="53"/>
      <c r="K369" s="58"/>
    </row>
    <row r="370" spans="1:12" s="3" customFormat="1" ht="12" customHeight="1" x14ac:dyDescent="0.2">
      <c r="A370" s="205"/>
      <c r="B370" s="12" t="s">
        <v>96</v>
      </c>
      <c r="C370" s="11" t="s">
        <v>33</v>
      </c>
      <c r="D370" s="11">
        <v>1.6E-2</v>
      </c>
      <c r="E370" s="44">
        <f>VLOOKUP(B370,'Costo de Materiales'!B$4:D$350,3,FALSE)</f>
        <v>0.92983256953090243</v>
      </c>
      <c r="F370" s="206">
        <f t="shared" si="32"/>
        <v>1.487732111249444E-2</v>
      </c>
      <c r="G370" s="302"/>
      <c r="H370" s="83"/>
      <c r="I370" s="53"/>
      <c r="J370" s="53"/>
      <c r="K370" s="58"/>
    </row>
    <row r="371" spans="1:12" s="3" customFormat="1" ht="12" customHeight="1" x14ac:dyDescent="0.2">
      <c r="A371" s="205"/>
      <c r="B371" s="12" t="s">
        <v>10</v>
      </c>
      <c r="C371" s="11" t="s">
        <v>33</v>
      </c>
      <c r="D371" s="11">
        <v>1.6E-2</v>
      </c>
      <c r="E371" s="44">
        <f>VLOOKUP(B371,'Costo de Materiales'!B$4:D$350,3,FALSE)</f>
        <v>0.35088021491732146</v>
      </c>
      <c r="F371" s="206">
        <f t="shared" si="32"/>
        <v>5.6140834386771438E-3</v>
      </c>
      <c r="G371" s="302"/>
      <c r="H371" s="83"/>
      <c r="I371" s="53"/>
      <c r="J371" s="53"/>
      <c r="K371" s="58"/>
    </row>
    <row r="372" spans="1:12" s="3" customFormat="1" ht="12" customHeight="1" x14ac:dyDescent="0.2">
      <c r="A372" s="207"/>
      <c r="B372" s="26" t="s">
        <v>109</v>
      </c>
      <c r="C372" s="23" t="s">
        <v>11</v>
      </c>
      <c r="D372" s="80">
        <f>VLOOKUP(B372,'Costo de Materiales'!B$4:D$350,3,FALSE)</f>
        <v>0.28999999999999998</v>
      </c>
      <c r="E372" s="45">
        <f>SUM(F370:F371)</f>
        <v>2.0491404551171585E-2</v>
      </c>
      <c r="F372" s="208">
        <f t="shared" si="32"/>
        <v>5.9425073198397594E-3</v>
      </c>
      <c r="G372" s="307"/>
      <c r="H372" s="83"/>
      <c r="I372" s="53"/>
      <c r="J372" s="53"/>
      <c r="K372" s="58"/>
    </row>
    <row r="373" spans="1:12" ht="12" customHeight="1" x14ac:dyDescent="0.2">
      <c r="A373" s="209">
        <v>47</v>
      </c>
      <c r="B373" s="88" t="s">
        <v>223</v>
      </c>
      <c r="C373" s="91" t="s">
        <v>18</v>
      </c>
      <c r="D373" s="91"/>
      <c r="E373" s="92"/>
      <c r="F373" s="210">
        <f>SUM(F374:F380)</f>
        <v>7.9245910102880707E-2</v>
      </c>
      <c r="G373" s="302"/>
      <c r="H373" s="83"/>
      <c r="I373" s="53"/>
      <c r="J373" s="53"/>
    </row>
    <row r="374" spans="1:12" s="3" customFormat="1" ht="12" customHeight="1" x14ac:dyDescent="0.2">
      <c r="A374" s="205"/>
      <c r="B374" s="12" t="s">
        <v>322</v>
      </c>
      <c r="C374" s="11" t="s">
        <v>17</v>
      </c>
      <c r="D374" s="11">
        <v>3</v>
      </c>
      <c r="E374" s="109">
        <f>VLOOKUP(B374,'Costo de Materiales'!B$4:D$350,3,FALSE)</f>
        <v>4.1471733984455088E-4</v>
      </c>
      <c r="F374" s="206">
        <f t="shared" ref="F374:F380" si="33">D374*E374</f>
        <v>1.2441520195336526E-3</v>
      </c>
      <c r="G374" s="302"/>
      <c r="H374" s="83"/>
      <c r="I374" s="53"/>
      <c r="J374" s="53"/>
      <c r="K374" s="58"/>
      <c r="L374" s="41"/>
    </row>
    <row r="375" spans="1:12" s="3" customFormat="1" ht="12" customHeight="1" x14ac:dyDescent="0.2">
      <c r="A375" s="205"/>
      <c r="B375" s="10" t="s">
        <v>564</v>
      </c>
      <c r="C375" s="11" t="s">
        <v>18</v>
      </c>
      <c r="D375" s="11">
        <v>1</v>
      </c>
      <c r="E375" s="44">
        <f>VLOOKUP(B375,'Costo de Materiales'!B$4:D$350,3,FALSE)</f>
        <v>5.1257199306629884E-2</v>
      </c>
      <c r="F375" s="206">
        <f t="shared" si="33"/>
        <v>5.1257199306629884E-2</v>
      </c>
      <c r="G375" s="302"/>
      <c r="H375" s="83"/>
      <c r="I375" s="53"/>
      <c r="J375" s="53"/>
      <c r="K375" s="58"/>
    </row>
    <row r="376" spans="1:12" s="3" customFormat="1" ht="12" customHeight="1" x14ac:dyDescent="0.2">
      <c r="A376" s="205"/>
      <c r="B376" s="12" t="s">
        <v>0</v>
      </c>
      <c r="C376" s="11" t="s">
        <v>18</v>
      </c>
      <c r="D376" s="11">
        <v>8.0000000000000002E-3</v>
      </c>
      <c r="E376" s="44">
        <f>VLOOKUP(B376,'Costo de Materiales'!B$4:D$350,3,FALSE)</f>
        <v>4.7054108963486233E-2</v>
      </c>
      <c r="F376" s="206">
        <f t="shared" si="33"/>
        <v>3.7643287170788985E-4</v>
      </c>
      <c r="G376" s="302"/>
      <c r="H376" s="83"/>
      <c r="I376" s="53"/>
      <c r="J376" s="53"/>
      <c r="K376" s="58"/>
    </row>
    <row r="377" spans="1:12" s="3" customFormat="1" ht="12" customHeight="1" x14ac:dyDescent="0.2">
      <c r="A377" s="205"/>
      <c r="B377" s="12" t="s">
        <v>111</v>
      </c>
      <c r="C377" s="11" t="s">
        <v>11</v>
      </c>
      <c r="D377" s="11">
        <v>0.03</v>
      </c>
      <c r="E377" s="44">
        <f>SUM(F374:F376)</f>
        <v>5.2877784197871425E-2</v>
      </c>
      <c r="F377" s="206">
        <f t="shared" si="33"/>
        <v>1.5863335259361426E-3</v>
      </c>
      <c r="G377" s="302"/>
      <c r="H377" s="83"/>
      <c r="I377" s="53"/>
      <c r="J377" s="53"/>
      <c r="K377" s="58"/>
    </row>
    <row r="378" spans="1:12" s="3" customFormat="1" ht="12" customHeight="1" x14ac:dyDescent="0.2">
      <c r="A378" s="205"/>
      <c r="B378" s="12" t="s">
        <v>96</v>
      </c>
      <c r="C378" s="11" t="s">
        <v>33</v>
      </c>
      <c r="D378" s="11">
        <v>1.4999999999999999E-2</v>
      </c>
      <c r="E378" s="44">
        <f>VLOOKUP(B378,'Costo de Materiales'!B$4:D$350,3,FALSE)</f>
        <v>0.92983256953090243</v>
      </c>
      <c r="F378" s="206">
        <f t="shared" si="33"/>
        <v>1.3947488542963536E-2</v>
      </c>
      <c r="G378" s="302"/>
      <c r="H378" s="83"/>
      <c r="I378" s="53"/>
      <c r="J378" s="53"/>
      <c r="K378" s="58"/>
    </row>
    <row r="379" spans="1:12" s="3" customFormat="1" ht="12" customHeight="1" x14ac:dyDescent="0.2">
      <c r="A379" s="205"/>
      <c r="B379" s="12" t="s">
        <v>10</v>
      </c>
      <c r="C379" s="11" t="s">
        <v>33</v>
      </c>
      <c r="D379" s="11">
        <v>1.4999999999999999E-2</v>
      </c>
      <c r="E379" s="44">
        <f>VLOOKUP(B379,'Costo de Materiales'!B$4:D$350,3,FALSE)</f>
        <v>0.35088021491732146</v>
      </c>
      <c r="F379" s="206">
        <f t="shared" si="33"/>
        <v>5.2632032237598216E-3</v>
      </c>
      <c r="G379" s="302"/>
      <c r="H379" s="83"/>
      <c r="I379" s="53"/>
      <c r="J379" s="53"/>
      <c r="K379" s="58"/>
    </row>
    <row r="380" spans="1:12" s="3" customFormat="1" ht="12" customHeight="1" x14ac:dyDescent="0.2">
      <c r="A380" s="207"/>
      <c r="B380" s="26" t="s">
        <v>109</v>
      </c>
      <c r="C380" s="23" t="s">
        <v>11</v>
      </c>
      <c r="D380" s="80">
        <f>VLOOKUP(B380,'Costo de Materiales'!B$4:D$350,3,FALSE)</f>
        <v>0.28999999999999998</v>
      </c>
      <c r="E380" s="45">
        <f>SUM(F378:F379)</f>
        <v>1.9210691766723357E-2</v>
      </c>
      <c r="F380" s="208">
        <f t="shared" si="33"/>
        <v>5.5711006123497732E-3</v>
      </c>
      <c r="G380" s="302"/>
      <c r="H380" s="83"/>
      <c r="I380" s="53"/>
      <c r="J380" s="53"/>
      <c r="K380" s="58"/>
    </row>
    <row r="381" spans="1:12" ht="12" customHeight="1" x14ac:dyDescent="0.2">
      <c r="A381" s="209">
        <v>48</v>
      </c>
      <c r="B381" s="88" t="s">
        <v>145</v>
      </c>
      <c r="C381" s="91" t="s">
        <v>6</v>
      </c>
      <c r="D381" s="91"/>
      <c r="E381" s="92"/>
      <c r="F381" s="210">
        <f>SUM(F382:F388)</f>
        <v>1.6699001798948165</v>
      </c>
      <c r="G381" s="303"/>
      <c r="H381" s="83"/>
      <c r="I381" s="53"/>
      <c r="J381" s="53"/>
    </row>
    <row r="382" spans="1:12" s="3" customFormat="1" ht="12" customHeight="1" x14ac:dyDescent="0.2">
      <c r="A382" s="205"/>
      <c r="B382" s="12" t="s">
        <v>8</v>
      </c>
      <c r="C382" s="11" t="s">
        <v>19</v>
      </c>
      <c r="D382" s="11">
        <v>5.3</v>
      </c>
      <c r="E382" s="44">
        <f>VLOOKUP(B382,'Costo de Materiales'!B$4:D$350,3,FALSE)</f>
        <v>0.15330562338073847</v>
      </c>
      <c r="F382" s="206">
        <f t="shared" ref="F382:F388" si="34">D382*E382</f>
        <v>0.8125198039179139</v>
      </c>
      <c r="G382" s="302"/>
      <c r="H382" s="83"/>
      <c r="I382" s="53"/>
      <c r="J382" s="53"/>
      <c r="K382" s="58"/>
    </row>
    <row r="383" spans="1:12" s="3" customFormat="1" ht="12" customHeight="1" x14ac:dyDescent="0.2">
      <c r="A383" s="205"/>
      <c r="B383" s="12" t="s">
        <v>9</v>
      </c>
      <c r="C383" s="11" t="s">
        <v>6</v>
      </c>
      <c r="D383" s="11">
        <v>0.47</v>
      </c>
      <c r="E383" s="44">
        <f>VLOOKUP(B383,'Costo de Materiales'!B$4:D$350,3,FALSE)</f>
        <v>0.31100746322217132</v>
      </c>
      <c r="F383" s="206">
        <f t="shared" si="34"/>
        <v>0.1461735077144205</v>
      </c>
      <c r="G383" s="302"/>
      <c r="H383" s="83"/>
      <c r="I383" s="53"/>
      <c r="J383" s="53"/>
      <c r="K383" s="58"/>
    </row>
    <row r="384" spans="1:12" s="3" customFormat="1" ht="12" customHeight="1" x14ac:dyDescent="0.2">
      <c r="A384" s="205"/>
      <c r="B384" s="12" t="s">
        <v>142</v>
      </c>
      <c r="C384" s="11" t="s">
        <v>6</v>
      </c>
      <c r="D384" s="11">
        <v>0.8</v>
      </c>
      <c r="E384" s="44">
        <f>VLOOKUP(B384,'Costo de Materiales'!B$4:D$350,3,FALSE)</f>
        <v>0.31100746322217132</v>
      </c>
      <c r="F384" s="206">
        <f t="shared" si="34"/>
        <v>0.24880597057773707</v>
      </c>
      <c r="G384" s="302"/>
      <c r="H384" s="83"/>
      <c r="I384" s="53"/>
      <c r="J384" s="53"/>
      <c r="K384" s="58"/>
    </row>
    <row r="385" spans="1:11" s="3" customFormat="1" ht="12" customHeight="1" x14ac:dyDescent="0.2">
      <c r="A385" s="205"/>
      <c r="B385" s="10" t="s">
        <v>281</v>
      </c>
      <c r="C385" s="11" t="s">
        <v>6</v>
      </c>
      <c r="D385" s="11">
        <v>0.2</v>
      </c>
      <c r="E385" s="44">
        <f>VLOOKUP(B385,'Costo de Materiales'!B$4:D$350,3,FALSE)</f>
        <v>0.31100746322217132</v>
      </c>
      <c r="F385" s="206">
        <f t="shared" si="34"/>
        <v>6.2201492644434267E-2</v>
      </c>
      <c r="G385" s="302"/>
      <c r="H385" s="83"/>
      <c r="I385" s="53"/>
      <c r="J385" s="53"/>
      <c r="K385" s="58"/>
    </row>
    <row r="386" spans="1:11" s="3" customFormat="1" ht="12" customHeight="1" x14ac:dyDescent="0.2">
      <c r="A386" s="205"/>
      <c r="B386" s="12" t="s">
        <v>111</v>
      </c>
      <c r="C386" s="11" t="s">
        <v>11</v>
      </c>
      <c r="D386" s="11">
        <v>0.03</v>
      </c>
      <c r="E386" s="44">
        <f>SUM(F382:F385)</f>
        <v>1.2697007748545057</v>
      </c>
      <c r="F386" s="206">
        <f t="shared" si="34"/>
        <v>3.8091023245635174E-2</v>
      </c>
      <c r="G386" s="302"/>
      <c r="H386" s="83"/>
      <c r="I386" s="53"/>
      <c r="J386" s="53"/>
      <c r="K386" s="58"/>
    </row>
    <row r="387" spans="1:11" s="3" customFormat="1" ht="12" customHeight="1" x14ac:dyDescent="0.2">
      <c r="A387" s="205"/>
      <c r="B387" s="12" t="s">
        <v>10</v>
      </c>
      <c r="C387" s="11" t="s">
        <v>33</v>
      </c>
      <c r="D387" s="11">
        <v>0.8</v>
      </c>
      <c r="E387" s="44">
        <f>VLOOKUP(B387,'Costo de Materiales'!B$4:D$350,3,FALSE)</f>
        <v>0.35088021491732146</v>
      </c>
      <c r="F387" s="206">
        <f t="shared" si="34"/>
        <v>0.28070417193385716</v>
      </c>
      <c r="G387" s="302"/>
      <c r="H387" s="83"/>
      <c r="I387" s="53"/>
      <c r="J387" s="53"/>
      <c r="K387" s="58"/>
    </row>
    <row r="388" spans="1:11" s="3" customFormat="1" ht="12" customHeight="1" x14ac:dyDescent="0.2">
      <c r="A388" s="207"/>
      <c r="B388" s="26" t="s">
        <v>109</v>
      </c>
      <c r="C388" s="23" t="s">
        <v>11</v>
      </c>
      <c r="D388" s="80">
        <f>VLOOKUP(B388,'Costo de Materiales'!B$4:D$350,3,FALSE)</f>
        <v>0.28999999999999998</v>
      </c>
      <c r="E388" s="45">
        <f>F387</f>
        <v>0.28070417193385716</v>
      </c>
      <c r="F388" s="208">
        <f t="shared" si="34"/>
        <v>8.1404209860818574E-2</v>
      </c>
      <c r="G388" s="307"/>
      <c r="H388" s="83"/>
      <c r="I388" s="53"/>
      <c r="J388" s="53"/>
      <c r="K388" s="58"/>
    </row>
    <row r="389" spans="1:11" ht="12" customHeight="1" x14ac:dyDescent="0.2">
      <c r="A389" s="209">
        <v>49</v>
      </c>
      <c r="B389" s="88" t="s">
        <v>474</v>
      </c>
      <c r="C389" s="91" t="s">
        <v>6</v>
      </c>
      <c r="D389" s="91"/>
      <c r="E389" s="92"/>
      <c r="F389" s="210">
        <f>SUM(F390:F396)</f>
        <v>1.714742527819344</v>
      </c>
      <c r="G389" s="302"/>
      <c r="H389" s="83"/>
      <c r="I389" s="53"/>
      <c r="J389" s="53"/>
    </row>
    <row r="390" spans="1:11" s="3" customFormat="1" ht="12" customHeight="1" x14ac:dyDescent="0.2">
      <c r="A390" s="205"/>
      <c r="B390" s="12" t="s">
        <v>8</v>
      </c>
      <c r="C390" s="11" t="s">
        <v>19</v>
      </c>
      <c r="D390" s="11">
        <v>5.3</v>
      </c>
      <c r="E390" s="44">
        <f>VLOOKUP(B390,'Costo de Materiales'!B$4:D$350,3,FALSE)</f>
        <v>0.15330562338073847</v>
      </c>
      <c r="F390" s="206">
        <f t="shared" ref="F390:F396" si="35">D390*E390</f>
        <v>0.8125198039179139</v>
      </c>
      <c r="G390" s="302"/>
      <c r="H390" s="83"/>
      <c r="I390" s="53"/>
      <c r="J390" s="53"/>
      <c r="K390" s="58"/>
    </row>
    <row r="391" spans="1:11" s="3" customFormat="1" ht="12" customHeight="1" x14ac:dyDescent="0.2">
      <c r="A391" s="205"/>
      <c r="B391" s="12" t="s">
        <v>9</v>
      </c>
      <c r="C391" s="11" t="s">
        <v>6</v>
      </c>
      <c r="D391" s="11">
        <v>0.47</v>
      </c>
      <c r="E391" s="44">
        <f>VLOOKUP(B391,'Costo de Materiales'!B$4:D$350,3,FALSE)</f>
        <v>0.31100746322217132</v>
      </c>
      <c r="F391" s="206">
        <f t="shared" si="35"/>
        <v>0.1461735077144205</v>
      </c>
      <c r="G391" s="302"/>
      <c r="H391" s="83"/>
      <c r="I391" s="53"/>
      <c r="J391" s="53"/>
      <c r="K391" s="58"/>
    </row>
    <row r="392" spans="1:11" s="3" customFormat="1" ht="12" customHeight="1" x14ac:dyDescent="0.2">
      <c r="A392" s="205"/>
      <c r="B392" s="12" t="s">
        <v>142</v>
      </c>
      <c r="C392" s="11" t="s">
        <v>6</v>
      </c>
      <c r="D392" s="11">
        <v>0.8</v>
      </c>
      <c r="E392" s="44">
        <f>VLOOKUP(B392,'Costo de Materiales'!B$4:D$350,3,FALSE)</f>
        <v>0.31100746322217132</v>
      </c>
      <c r="F392" s="206">
        <f t="shared" si="35"/>
        <v>0.24880597057773707</v>
      </c>
      <c r="G392" s="302"/>
      <c r="H392" s="83"/>
      <c r="I392" s="53"/>
      <c r="J392" s="53"/>
      <c r="K392" s="58"/>
    </row>
    <row r="393" spans="1:11" s="3" customFormat="1" ht="12" customHeight="1" x14ac:dyDescent="0.2">
      <c r="A393" s="205"/>
      <c r="B393" s="12" t="s">
        <v>192</v>
      </c>
      <c r="C393" s="11" t="s">
        <v>20</v>
      </c>
      <c r="D393" s="21">
        <v>3.85</v>
      </c>
      <c r="E393" s="44">
        <f>VLOOKUP(B393,'Costo de Materiales'!B$4:D$350,3,FALSE)</f>
        <v>2.7464351367619433E-2</v>
      </c>
      <c r="F393" s="206">
        <f t="shared" si="35"/>
        <v>0.10573775276533481</v>
      </c>
      <c r="G393" s="302"/>
      <c r="H393" s="83"/>
      <c r="I393" s="53"/>
      <c r="J393" s="53"/>
      <c r="K393" s="58"/>
    </row>
    <row r="394" spans="1:11" s="3" customFormat="1" ht="12" customHeight="1" x14ac:dyDescent="0.2">
      <c r="A394" s="205"/>
      <c r="B394" s="12" t="s">
        <v>111</v>
      </c>
      <c r="C394" s="11" t="s">
        <v>11</v>
      </c>
      <c r="D394" s="11">
        <v>0.03</v>
      </c>
      <c r="E394" s="44">
        <f>SUM(F390:F393)</f>
        <v>1.3132370349754061</v>
      </c>
      <c r="F394" s="206">
        <f t="shared" si="35"/>
        <v>3.9397111049262183E-2</v>
      </c>
      <c r="G394" s="302"/>
      <c r="H394" s="83"/>
      <c r="I394" s="53"/>
      <c r="J394" s="53"/>
      <c r="K394" s="58"/>
    </row>
    <row r="395" spans="1:11" s="3" customFormat="1" ht="12" customHeight="1" x14ac:dyDescent="0.2">
      <c r="A395" s="205"/>
      <c r="B395" s="12" t="s">
        <v>10</v>
      </c>
      <c r="C395" s="11" t="s">
        <v>33</v>
      </c>
      <c r="D395" s="11">
        <v>0.8</v>
      </c>
      <c r="E395" s="44">
        <f>VLOOKUP(B395,'Costo de Materiales'!B$4:D$350,3,FALSE)</f>
        <v>0.35088021491732146</v>
      </c>
      <c r="F395" s="206">
        <f t="shared" si="35"/>
        <v>0.28070417193385716</v>
      </c>
      <c r="G395" s="302"/>
      <c r="H395" s="83"/>
      <c r="I395" s="53"/>
      <c r="J395" s="53"/>
      <c r="K395" s="58"/>
    </row>
    <row r="396" spans="1:11" s="3" customFormat="1" ht="12" customHeight="1" x14ac:dyDescent="0.2">
      <c r="A396" s="207"/>
      <c r="B396" s="26" t="s">
        <v>109</v>
      </c>
      <c r="C396" s="23" t="s">
        <v>11</v>
      </c>
      <c r="D396" s="80">
        <f>VLOOKUP(B396,'Costo de Materiales'!B$4:D$350,3,FALSE)</f>
        <v>0.28999999999999998</v>
      </c>
      <c r="E396" s="45">
        <f>F395</f>
        <v>0.28070417193385716</v>
      </c>
      <c r="F396" s="208">
        <f t="shared" si="35"/>
        <v>8.1404209860818574E-2</v>
      </c>
      <c r="G396" s="302"/>
      <c r="H396" s="83"/>
      <c r="I396" s="53"/>
      <c r="J396" s="53"/>
      <c r="K396" s="58"/>
    </row>
    <row r="397" spans="1:11" ht="12" customHeight="1" x14ac:dyDescent="0.2">
      <c r="A397" s="209">
        <v>50</v>
      </c>
      <c r="B397" s="88" t="s">
        <v>154</v>
      </c>
      <c r="C397" s="91" t="s">
        <v>6</v>
      </c>
      <c r="D397" s="91"/>
      <c r="E397" s="92"/>
      <c r="F397" s="210">
        <f>SUM(F398:F403)</f>
        <v>1.7355862581556918</v>
      </c>
      <c r="G397" s="303"/>
      <c r="H397" s="83"/>
      <c r="I397" s="53"/>
      <c r="J397" s="53"/>
    </row>
    <row r="398" spans="1:11" s="3" customFormat="1" ht="12" customHeight="1" x14ac:dyDescent="0.2">
      <c r="A398" s="205"/>
      <c r="B398" s="12" t="s">
        <v>8</v>
      </c>
      <c r="C398" s="11" t="s">
        <v>19</v>
      </c>
      <c r="D398" s="11">
        <v>6</v>
      </c>
      <c r="E398" s="44">
        <f>VLOOKUP(B398,'Costo de Materiales'!B$4:D$350,3,FALSE)</f>
        <v>0.15330562338073847</v>
      </c>
      <c r="F398" s="206">
        <f t="shared" ref="F398:F403" si="36">D398*E398</f>
        <v>0.91983374028443077</v>
      </c>
      <c r="G398" s="302"/>
      <c r="H398" s="83"/>
      <c r="I398" s="53"/>
      <c r="J398" s="53"/>
      <c r="K398" s="58"/>
    </row>
    <row r="399" spans="1:11" s="3" customFormat="1" ht="12" customHeight="1" x14ac:dyDescent="0.2">
      <c r="A399" s="205"/>
      <c r="B399" s="12" t="s">
        <v>9</v>
      </c>
      <c r="C399" s="11" t="s">
        <v>6</v>
      </c>
      <c r="D399" s="11">
        <v>0.46</v>
      </c>
      <c r="E399" s="44">
        <f>VLOOKUP(B399,'Costo de Materiales'!B$4:D$350,3,FALSE)</f>
        <v>0.31100746322217132</v>
      </c>
      <c r="F399" s="206">
        <f t="shared" si="36"/>
        <v>0.14306343308219882</v>
      </c>
      <c r="G399" s="302"/>
      <c r="H399" s="83"/>
      <c r="I399" s="53"/>
      <c r="J399" s="53"/>
      <c r="K399" s="58"/>
    </row>
    <row r="400" spans="1:11" s="3" customFormat="1" ht="12" customHeight="1" x14ac:dyDescent="0.2">
      <c r="A400" s="205"/>
      <c r="B400" s="12" t="s">
        <v>142</v>
      </c>
      <c r="C400" s="11" t="s">
        <v>6</v>
      </c>
      <c r="D400" s="11">
        <v>0.87</v>
      </c>
      <c r="E400" s="44">
        <f>VLOOKUP(B400,'Costo de Materiales'!B$4:D$350,3,FALSE)</f>
        <v>0.31100746322217132</v>
      </c>
      <c r="F400" s="206">
        <f t="shared" si="36"/>
        <v>0.27057649300328906</v>
      </c>
      <c r="G400" s="302"/>
      <c r="H400" s="83"/>
      <c r="I400" s="53"/>
      <c r="J400" s="53"/>
      <c r="K400" s="58"/>
    </row>
    <row r="401" spans="1:11" s="3" customFormat="1" ht="12" customHeight="1" x14ac:dyDescent="0.2">
      <c r="A401" s="205"/>
      <c r="B401" s="12" t="s">
        <v>111</v>
      </c>
      <c r="C401" s="11" t="s">
        <v>11</v>
      </c>
      <c r="D401" s="11">
        <v>0.03</v>
      </c>
      <c r="E401" s="44">
        <f>SUM(F398:F400)</f>
        <v>1.3334736663699185</v>
      </c>
      <c r="F401" s="206">
        <f t="shared" si="36"/>
        <v>4.000420999109755E-2</v>
      </c>
      <c r="G401" s="302"/>
      <c r="H401" s="83"/>
      <c r="I401" s="53"/>
      <c r="J401" s="53"/>
      <c r="K401" s="58"/>
    </row>
    <row r="402" spans="1:11" s="3" customFormat="1" ht="12" customHeight="1" x14ac:dyDescent="0.2">
      <c r="A402" s="205"/>
      <c r="B402" s="12" t="s">
        <v>10</v>
      </c>
      <c r="C402" s="11" t="s">
        <v>33</v>
      </c>
      <c r="D402" s="11">
        <v>0.8</v>
      </c>
      <c r="E402" s="44">
        <f>VLOOKUP(B402,'Costo de Materiales'!B$4:D$350,3,FALSE)</f>
        <v>0.35088021491732146</v>
      </c>
      <c r="F402" s="206">
        <f t="shared" si="36"/>
        <v>0.28070417193385716</v>
      </c>
      <c r="G402" s="302"/>
      <c r="H402" s="83"/>
      <c r="I402" s="53"/>
      <c r="J402" s="53"/>
      <c r="K402" s="58"/>
    </row>
    <row r="403" spans="1:11" s="3" customFormat="1" ht="12" customHeight="1" x14ac:dyDescent="0.2">
      <c r="A403" s="207"/>
      <c r="B403" s="26" t="s">
        <v>109</v>
      </c>
      <c r="C403" s="23" t="s">
        <v>11</v>
      </c>
      <c r="D403" s="80">
        <f>VLOOKUP(B403,'Costo de Materiales'!B$4:D$350,3,FALSE)</f>
        <v>0.28999999999999998</v>
      </c>
      <c r="E403" s="45">
        <f>F402</f>
        <v>0.28070417193385716</v>
      </c>
      <c r="F403" s="208">
        <f t="shared" si="36"/>
        <v>8.1404209860818574E-2</v>
      </c>
      <c r="G403" s="307"/>
      <c r="H403" s="83"/>
      <c r="I403" s="53"/>
      <c r="J403" s="53"/>
      <c r="K403" s="58"/>
    </row>
    <row r="404" spans="1:11" ht="12" customHeight="1" x14ac:dyDescent="0.2">
      <c r="A404" s="209">
        <v>51</v>
      </c>
      <c r="B404" s="88" t="s">
        <v>476</v>
      </c>
      <c r="C404" s="91" t="s">
        <v>6</v>
      </c>
      <c r="D404" s="91"/>
      <c r="E404" s="92"/>
      <c r="F404" s="210">
        <f>SUM(F405:F411)</f>
        <v>1.7996537955794591</v>
      </c>
      <c r="G404" s="302"/>
      <c r="H404" s="83"/>
      <c r="I404" s="53"/>
      <c r="J404" s="53"/>
    </row>
    <row r="405" spans="1:11" s="3" customFormat="1" ht="12" customHeight="1" x14ac:dyDescent="0.2">
      <c r="A405" s="205"/>
      <c r="B405" s="12" t="s">
        <v>8</v>
      </c>
      <c r="C405" s="11" t="s">
        <v>19</v>
      </c>
      <c r="D405" s="11">
        <v>6</v>
      </c>
      <c r="E405" s="44">
        <f>VLOOKUP(B405,'Costo de Materiales'!B$4:D$350,3,FALSE)</f>
        <v>0.15330562338073847</v>
      </c>
      <c r="F405" s="206">
        <f t="shared" ref="F405:F411" si="37">D405*E405</f>
        <v>0.91983374028443077</v>
      </c>
      <c r="G405" s="302"/>
      <c r="H405" s="83"/>
      <c r="I405" s="53"/>
      <c r="J405" s="53"/>
      <c r="K405" s="58"/>
    </row>
    <row r="406" spans="1:11" s="3" customFormat="1" ht="12" customHeight="1" x14ac:dyDescent="0.2">
      <c r="A406" s="205"/>
      <c r="B406" s="12" t="s">
        <v>9</v>
      </c>
      <c r="C406" s="11" t="s">
        <v>6</v>
      </c>
      <c r="D406" s="11">
        <v>0.46</v>
      </c>
      <c r="E406" s="44">
        <f>VLOOKUP(B406,'Costo de Materiales'!B$4:D$350,3,FALSE)</f>
        <v>0.31100746322217132</v>
      </c>
      <c r="F406" s="206">
        <f t="shared" si="37"/>
        <v>0.14306343308219882</v>
      </c>
      <c r="G406" s="302"/>
      <c r="H406" s="83"/>
      <c r="I406" s="53"/>
      <c r="J406" s="53"/>
      <c r="K406" s="58"/>
    </row>
    <row r="407" spans="1:11" s="3" customFormat="1" ht="12" customHeight="1" x14ac:dyDescent="0.2">
      <c r="A407" s="205"/>
      <c r="B407" s="12" t="s">
        <v>142</v>
      </c>
      <c r="C407" s="11" t="s">
        <v>6</v>
      </c>
      <c r="D407" s="11">
        <v>0.87</v>
      </c>
      <c r="E407" s="44">
        <f>VLOOKUP(B407,'Costo de Materiales'!B$4:D$350,3,FALSE)</f>
        <v>0.31100746322217132</v>
      </c>
      <c r="F407" s="206">
        <f t="shared" si="37"/>
        <v>0.27057649300328906</v>
      </c>
      <c r="G407" s="302"/>
      <c r="H407" s="83"/>
      <c r="I407" s="53"/>
      <c r="J407" s="53"/>
      <c r="K407" s="58"/>
    </row>
    <row r="408" spans="1:11" s="3" customFormat="1" ht="12" customHeight="1" x14ac:dyDescent="0.2">
      <c r="A408" s="205"/>
      <c r="B408" s="10" t="s">
        <v>281</v>
      </c>
      <c r="C408" s="11" t="s">
        <v>6</v>
      </c>
      <c r="D408" s="11">
        <v>0.2</v>
      </c>
      <c r="E408" s="44">
        <f>VLOOKUP(B408,'Costo de Materiales'!B$4:D$350,3,FALSE)</f>
        <v>0.31100746322217132</v>
      </c>
      <c r="F408" s="206">
        <f t="shared" si="37"/>
        <v>6.2201492644434267E-2</v>
      </c>
      <c r="G408" s="302"/>
      <c r="H408" s="83"/>
      <c r="I408" s="53"/>
      <c r="J408" s="53"/>
      <c r="K408" s="58"/>
    </row>
    <row r="409" spans="1:11" s="3" customFormat="1" ht="12" customHeight="1" x14ac:dyDescent="0.2">
      <c r="A409" s="205"/>
      <c r="B409" s="12" t="s">
        <v>111</v>
      </c>
      <c r="C409" s="11" t="s">
        <v>11</v>
      </c>
      <c r="D409" s="11">
        <v>0.03</v>
      </c>
      <c r="E409" s="44">
        <f>SUM(F405:F408)</f>
        <v>1.3956751590143528</v>
      </c>
      <c r="F409" s="206">
        <f t="shared" si="37"/>
        <v>4.1870254770430583E-2</v>
      </c>
      <c r="G409" s="302"/>
      <c r="H409" s="83"/>
      <c r="I409" s="53"/>
      <c r="J409" s="53"/>
      <c r="K409" s="58"/>
    </row>
    <row r="410" spans="1:11" s="3" customFormat="1" ht="12" customHeight="1" x14ac:dyDescent="0.2">
      <c r="A410" s="205"/>
      <c r="B410" s="12" t="s">
        <v>10</v>
      </c>
      <c r="C410" s="11" t="s">
        <v>33</v>
      </c>
      <c r="D410" s="11">
        <v>0.8</v>
      </c>
      <c r="E410" s="44">
        <f>VLOOKUP(B410,'Costo de Materiales'!B$4:D$350,3,FALSE)</f>
        <v>0.35088021491732146</v>
      </c>
      <c r="F410" s="206">
        <f t="shared" si="37"/>
        <v>0.28070417193385716</v>
      </c>
      <c r="G410" s="302"/>
      <c r="H410" s="83"/>
      <c r="I410" s="53"/>
      <c r="J410" s="53"/>
      <c r="K410" s="58"/>
    </row>
    <row r="411" spans="1:11" s="3" customFormat="1" ht="12" customHeight="1" x14ac:dyDescent="0.2">
      <c r="A411" s="207"/>
      <c r="B411" s="26" t="s">
        <v>109</v>
      </c>
      <c r="C411" s="23" t="s">
        <v>11</v>
      </c>
      <c r="D411" s="80">
        <f>VLOOKUP(B411,'Costo de Materiales'!B$4:D$350,3,FALSE)</f>
        <v>0.28999999999999998</v>
      </c>
      <c r="E411" s="45">
        <f>F410</f>
        <v>0.28070417193385716</v>
      </c>
      <c r="F411" s="208">
        <f t="shared" si="37"/>
        <v>8.1404209860818574E-2</v>
      </c>
      <c r="G411" s="302"/>
      <c r="H411" s="83"/>
      <c r="I411" s="53"/>
      <c r="J411" s="53"/>
      <c r="K411" s="58"/>
    </row>
    <row r="412" spans="1:11" ht="12" customHeight="1" x14ac:dyDescent="0.2">
      <c r="A412" s="209">
        <v>52</v>
      </c>
      <c r="B412" s="88" t="s">
        <v>475</v>
      </c>
      <c r="C412" s="91" t="s">
        <v>6</v>
      </c>
      <c r="D412" s="91"/>
      <c r="E412" s="92"/>
      <c r="F412" s="210">
        <f>SUM(F413:F419)</f>
        <v>1.7525592273008805</v>
      </c>
      <c r="G412" s="303"/>
      <c r="H412" s="83"/>
      <c r="I412" s="53"/>
      <c r="J412" s="53"/>
    </row>
    <row r="413" spans="1:11" s="3" customFormat="1" ht="12" customHeight="1" x14ac:dyDescent="0.2">
      <c r="A413" s="205"/>
      <c r="B413" s="12" t="s">
        <v>8</v>
      </c>
      <c r="C413" s="11" t="s">
        <v>19</v>
      </c>
      <c r="D413" s="11">
        <v>6</v>
      </c>
      <c r="E413" s="44">
        <f>VLOOKUP(B413,'Costo de Materiales'!B$4:D$350,3,FALSE)</f>
        <v>0.15330562338073847</v>
      </c>
      <c r="F413" s="206">
        <f>D413*E413</f>
        <v>0.91983374028443077</v>
      </c>
      <c r="G413" s="302"/>
      <c r="H413" s="83"/>
      <c r="I413" s="53"/>
      <c r="J413" s="53"/>
      <c r="K413" s="58"/>
    </row>
    <row r="414" spans="1:11" s="3" customFormat="1" ht="12" customHeight="1" x14ac:dyDescent="0.2">
      <c r="A414" s="205"/>
      <c r="B414" s="12" t="s">
        <v>9</v>
      </c>
      <c r="C414" s="11" t="s">
        <v>6</v>
      </c>
      <c r="D414" s="11">
        <v>0.46</v>
      </c>
      <c r="E414" s="44">
        <f>VLOOKUP(B414,'Costo de Materiales'!B$4:D$350,3,FALSE)</f>
        <v>0.31100746322217132</v>
      </c>
      <c r="F414" s="206">
        <f t="shared" ref="F414:F419" si="38">D414*E414</f>
        <v>0.14306343308219882</v>
      </c>
      <c r="G414" s="302"/>
      <c r="H414" s="83"/>
      <c r="I414" s="53"/>
      <c r="J414" s="53"/>
      <c r="K414" s="58"/>
    </row>
    <row r="415" spans="1:11" s="3" customFormat="1" ht="12" customHeight="1" x14ac:dyDescent="0.2">
      <c r="A415" s="205"/>
      <c r="B415" s="12" t="s">
        <v>142</v>
      </c>
      <c r="C415" s="11" t="s">
        <v>6</v>
      </c>
      <c r="D415" s="11">
        <v>0.87</v>
      </c>
      <c r="E415" s="44">
        <f>VLOOKUP(B415,'Costo de Materiales'!B$4:D$350,3,FALSE)</f>
        <v>0.31100746322217132</v>
      </c>
      <c r="F415" s="206">
        <f t="shared" si="38"/>
        <v>0.27057649300328906</v>
      </c>
      <c r="G415" s="302"/>
      <c r="H415" s="83"/>
      <c r="I415" s="53"/>
      <c r="J415" s="53"/>
      <c r="K415" s="58"/>
    </row>
    <row r="416" spans="1:11" s="3" customFormat="1" ht="12" customHeight="1" x14ac:dyDescent="0.2">
      <c r="A416" s="205"/>
      <c r="B416" s="12" t="s">
        <v>192</v>
      </c>
      <c r="C416" s="11" t="s">
        <v>20</v>
      </c>
      <c r="D416" s="21">
        <v>0.6</v>
      </c>
      <c r="E416" s="44">
        <f>VLOOKUP(B416,'Costo de Materiales'!B$4:D$350,3,FALSE)</f>
        <v>2.7464351367619433E-2</v>
      </c>
      <c r="F416" s="206">
        <f t="shared" si="38"/>
        <v>1.647861082057166E-2</v>
      </c>
      <c r="G416" s="302"/>
      <c r="H416" s="83"/>
      <c r="I416" s="53"/>
      <c r="J416" s="53"/>
      <c r="K416" s="58"/>
    </row>
    <row r="417" spans="1:11" s="3" customFormat="1" ht="12" customHeight="1" x14ac:dyDescent="0.2">
      <c r="A417" s="205"/>
      <c r="B417" s="12" t="s">
        <v>111</v>
      </c>
      <c r="C417" s="11" t="s">
        <v>11</v>
      </c>
      <c r="D417" s="11">
        <v>0.03</v>
      </c>
      <c r="E417" s="44">
        <f>SUM(F413:F416)</f>
        <v>1.3499522771904902</v>
      </c>
      <c r="F417" s="206">
        <f t="shared" si="38"/>
        <v>4.0498568315714703E-2</v>
      </c>
      <c r="G417" s="302"/>
      <c r="H417" s="83"/>
      <c r="I417" s="53"/>
      <c r="J417" s="53"/>
      <c r="K417" s="58"/>
    </row>
    <row r="418" spans="1:11" s="3" customFormat="1" ht="12" customHeight="1" x14ac:dyDescent="0.2">
      <c r="A418" s="205"/>
      <c r="B418" s="12" t="s">
        <v>10</v>
      </c>
      <c r="C418" s="11" t="s">
        <v>33</v>
      </c>
      <c r="D418" s="11">
        <v>0.8</v>
      </c>
      <c r="E418" s="44">
        <f>VLOOKUP(B418,'Costo de Materiales'!B$4:D$350,3,FALSE)</f>
        <v>0.35088021491732146</v>
      </c>
      <c r="F418" s="206">
        <f t="shared" si="38"/>
        <v>0.28070417193385716</v>
      </c>
      <c r="G418" s="302"/>
      <c r="H418" s="83"/>
      <c r="I418" s="53"/>
      <c r="J418" s="53"/>
      <c r="K418" s="58"/>
    </row>
    <row r="419" spans="1:11" s="3" customFormat="1" ht="12" customHeight="1" x14ac:dyDescent="0.2">
      <c r="A419" s="207"/>
      <c r="B419" s="26" t="s">
        <v>109</v>
      </c>
      <c r="C419" s="23" t="s">
        <v>11</v>
      </c>
      <c r="D419" s="80">
        <f>VLOOKUP(B419,'Costo de Materiales'!B$4:D$350,3,FALSE)</f>
        <v>0.28999999999999998</v>
      </c>
      <c r="E419" s="45">
        <f>F418</f>
        <v>0.28070417193385716</v>
      </c>
      <c r="F419" s="208">
        <f t="shared" si="38"/>
        <v>8.1404209860818574E-2</v>
      </c>
      <c r="G419" s="307"/>
      <c r="H419" s="83"/>
      <c r="I419" s="53"/>
      <c r="J419" s="53"/>
      <c r="K419" s="58"/>
    </row>
    <row r="420" spans="1:11" ht="12" customHeight="1" x14ac:dyDescent="0.2">
      <c r="A420" s="209">
        <v>53</v>
      </c>
      <c r="B420" s="88" t="s">
        <v>147</v>
      </c>
      <c r="C420" s="91" t="s">
        <v>6</v>
      </c>
      <c r="D420" s="91"/>
      <c r="E420" s="92"/>
      <c r="F420" s="210">
        <f>SUM(F421:F426)</f>
        <v>1.8773383227932752</v>
      </c>
      <c r="G420" s="302"/>
      <c r="H420" s="83"/>
      <c r="I420" s="53"/>
      <c r="J420" s="53"/>
    </row>
    <row r="421" spans="1:11" s="3" customFormat="1" ht="12" customHeight="1" x14ac:dyDescent="0.2">
      <c r="A421" s="205"/>
      <c r="B421" s="12" t="s">
        <v>8</v>
      </c>
      <c r="C421" s="11" t="s">
        <v>19</v>
      </c>
      <c r="D421" s="11">
        <v>7.06</v>
      </c>
      <c r="E421" s="44">
        <f>VLOOKUP(B421,'Costo de Materiales'!B$4:D$350,3,FALSE)</f>
        <v>0.15330562338073847</v>
      </c>
      <c r="F421" s="206">
        <f t="shared" ref="F421:F426" si="39">D421*E421</f>
        <v>1.0823377010680135</v>
      </c>
      <c r="G421" s="302"/>
      <c r="H421" s="83"/>
      <c r="I421" s="53"/>
      <c r="J421" s="53"/>
      <c r="K421" s="58"/>
    </row>
    <row r="422" spans="1:11" s="3" customFormat="1" ht="12" customHeight="1" x14ac:dyDescent="0.2">
      <c r="A422" s="205"/>
      <c r="B422" s="12" t="s">
        <v>9</v>
      </c>
      <c r="C422" s="11" t="s">
        <v>6</v>
      </c>
      <c r="D422" s="11">
        <v>0.42</v>
      </c>
      <c r="E422" s="44">
        <f>VLOOKUP(B422,'Costo de Materiales'!B$4:D$350,3,FALSE)</f>
        <v>0.31100746322217132</v>
      </c>
      <c r="F422" s="206">
        <f t="shared" si="39"/>
        <v>0.13062313455331195</v>
      </c>
      <c r="G422" s="302"/>
      <c r="H422" s="83"/>
      <c r="I422" s="53"/>
      <c r="J422" s="53"/>
      <c r="K422" s="58"/>
    </row>
    <row r="423" spans="1:11" s="3" customFormat="1" ht="12" customHeight="1" x14ac:dyDescent="0.2">
      <c r="A423" s="205"/>
      <c r="B423" s="12" t="s">
        <v>142</v>
      </c>
      <c r="C423" s="11" t="s">
        <v>6</v>
      </c>
      <c r="D423" s="11">
        <v>0.83</v>
      </c>
      <c r="E423" s="44">
        <f>VLOOKUP(B423,'Costo de Materiales'!B$4:D$350,3,FALSE)</f>
        <v>0.31100746322217132</v>
      </c>
      <c r="F423" s="206">
        <f t="shared" si="39"/>
        <v>0.25813619447440217</v>
      </c>
      <c r="G423" s="302"/>
      <c r="H423" s="83"/>
      <c r="I423" s="53"/>
      <c r="J423" s="53"/>
      <c r="K423" s="58"/>
    </row>
    <row r="424" spans="1:11" s="3" customFormat="1" ht="12" customHeight="1" x14ac:dyDescent="0.2">
      <c r="A424" s="205"/>
      <c r="B424" s="12" t="s">
        <v>111</v>
      </c>
      <c r="C424" s="11" t="s">
        <v>11</v>
      </c>
      <c r="D424" s="11">
        <v>0.03</v>
      </c>
      <c r="E424" s="44">
        <f>SUM(F421:F423)</f>
        <v>1.4710970300957276</v>
      </c>
      <c r="F424" s="206">
        <f t="shared" si="39"/>
        <v>4.4132910902871823E-2</v>
      </c>
      <c r="G424" s="302"/>
      <c r="H424" s="83"/>
      <c r="I424" s="53"/>
      <c r="J424" s="53"/>
      <c r="K424" s="58"/>
    </row>
    <row r="425" spans="1:11" s="3" customFormat="1" ht="12" customHeight="1" x14ac:dyDescent="0.2">
      <c r="A425" s="205"/>
      <c r="B425" s="12" t="s">
        <v>10</v>
      </c>
      <c r="C425" s="11" t="s">
        <v>33</v>
      </c>
      <c r="D425" s="11">
        <v>0.8</v>
      </c>
      <c r="E425" s="44">
        <f>VLOOKUP(B425,'Costo de Materiales'!B$4:D$350,3,FALSE)</f>
        <v>0.35088021491732146</v>
      </c>
      <c r="F425" s="206">
        <f t="shared" si="39"/>
        <v>0.28070417193385716</v>
      </c>
      <c r="G425" s="302"/>
      <c r="H425" s="83"/>
      <c r="I425" s="53"/>
      <c r="J425" s="53"/>
      <c r="K425" s="58"/>
    </row>
    <row r="426" spans="1:11" s="3" customFormat="1" ht="12" customHeight="1" x14ac:dyDescent="0.2">
      <c r="A426" s="207"/>
      <c r="B426" s="26" t="s">
        <v>109</v>
      </c>
      <c r="C426" s="23" t="s">
        <v>11</v>
      </c>
      <c r="D426" s="80">
        <f>VLOOKUP(B426,'Costo de Materiales'!B$4:D$350,3,FALSE)</f>
        <v>0.28999999999999998</v>
      </c>
      <c r="E426" s="45">
        <f>F425</f>
        <v>0.28070417193385716</v>
      </c>
      <c r="F426" s="208">
        <f t="shared" si="39"/>
        <v>8.1404209860818574E-2</v>
      </c>
      <c r="G426" s="302"/>
      <c r="H426" s="83"/>
      <c r="I426" s="53"/>
      <c r="J426" s="53"/>
      <c r="K426" s="58"/>
    </row>
    <row r="427" spans="1:11" ht="12" customHeight="1" x14ac:dyDescent="0.2">
      <c r="A427" s="209">
        <v>54</v>
      </c>
      <c r="B427" s="88" t="s">
        <v>361</v>
      </c>
      <c r="C427" s="91" t="s">
        <v>6</v>
      </c>
      <c r="D427" s="91"/>
      <c r="E427" s="92"/>
      <c r="F427" s="210">
        <f>SUM(F428:F434)</f>
        <v>1.8957257060338963</v>
      </c>
      <c r="G427" s="303"/>
      <c r="H427" s="83"/>
      <c r="I427" s="53"/>
      <c r="J427" s="53"/>
    </row>
    <row r="428" spans="1:11" s="3" customFormat="1" ht="12" customHeight="1" x14ac:dyDescent="0.2">
      <c r="A428" s="205"/>
      <c r="B428" s="12" t="s">
        <v>8</v>
      </c>
      <c r="C428" s="11" t="s">
        <v>19</v>
      </c>
      <c r="D428" s="11">
        <v>7.06</v>
      </c>
      <c r="E428" s="44">
        <f>VLOOKUP(B428,'Costo de Materiales'!B$4:D$350,3,FALSE)</f>
        <v>0.15330562338073847</v>
      </c>
      <c r="F428" s="206">
        <f>D428*E428</f>
        <v>1.0823377010680135</v>
      </c>
      <c r="G428" s="302"/>
      <c r="H428" s="83"/>
      <c r="I428" s="53"/>
      <c r="J428" s="53"/>
      <c r="K428" s="58"/>
    </row>
    <row r="429" spans="1:11" s="3" customFormat="1" ht="12" customHeight="1" x14ac:dyDescent="0.2">
      <c r="A429" s="205"/>
      <c r="B429" s="12" t="s">
        <v>9</v>
      </c>
      <c r="C429" s="11" t="s">
        <v>6</v>
      </c>
      <c r="D429" s="11">
        <v>0.42</v>
      </c>
      <c r="E429" s="44">
        <f>VLOOKUP(B429,'Costo de Materiales'!B$4:D$350,3,FALSE)</f>
        <v>0.31100746322217132</v>
      </c>
      <c r="F429" s="206">
        <f t="shared" ref="F429:F434" si="40">D429*E429</f>
        <v>0.13062313455331195</v>
      </c>
      <c r="G429" s="302"/>
      <c r="H429" s="83"/>
      <c r="I429" s="53"/>
      <c r="J429" s="53"/>
      <c r="K429" s="58"/>
    </row>
    <row r="430" spans="1:11" s="3" customFormat="1" ht="12" customHeight="1" x14ac:dyDescent="0.2">
      <c r="A430" s="205"/>
      <c r="B430" s="12" t="s">
        <v>142</v>
      </c>
      <c r="C430" s="11" t="s">
        <v>6</v>
      </c>
      <c r="D430" s="11">
        <v>0.83</v>
      </c>
      <c r="E430" s="44">
        <f>VLOOKUP(B430,'Costo de Materiales'!B$4:D$350,3,FALSE)</f>
        <v>0.31100746322217132</v>
      </c>
      <c r="F430" s="206">
        <f t="shared" si="40"/>
        <v>0.25813619447440217</v>
      </c>
      <c r="G430" s="302"/>
      <c r="H430" s="83"/>
      <c r="I430" s="53"/>
      <c r="J430" s="53"/>
      <c r="K430" s="58"/>
    </row>
    <row r="431" spans="1:11" s="3" customFormat="1" ht="12" customHeight="1" x14ac:dyDescent="0.2">
      <c r="A431" s="205"/>
      <c r="B431" s="12" t="s">
        <v>192</v>
      </c>
      <c r="C431" s="11" t="s">
        <v>20</v>
      </c>
      <c r="D431" s="21">
        <v>0.65</v>
      </c>
      <c r="E431" s="44">
        <f>VLOOKUP(B431,'Costo de Materiales'!B$4:D$350,3,FALSE)</f>
        <v>2.7464351367619433E-2</v>
      </c>
      <c r="F431" s="206">
        <f t="shared" si="40"/>
        <v>1.7851828388952631E-2</v>
      </c>
      <c r="G431" s="302"/>
      <c r="H431" s="83"/>
      <c r="I431" s="53"/>
      <c r="J431" s="53"/>
      <c r="K431" s="58"/>
    </row>
    <row r="432" spans="1:11" s="3" customFormat="1" ht="12" customHeight="1" x14ac:dyDescent="0.2">
      <c r="A432" s="205"/>
      <c r="B432" s="12" t="s">
        <v>111</v>
      </c>
      <c r="C432" s="11" t="s">
        <v>11</v>
      </c>
      <c r="D432" s="11">
        <v>0.03</v>
      </c>
      <c r="E432" s="44">
        <f>SUM(F428:F431)</f>
        <v>1.4889488584846802</v>
      </c>
      <c r="F432" s="206">
        <f t="shared" si="40"/>
        <v>4.4668465754540407E-2</v>
      </c>
      <c r="G432" s="302"/>
      <c r="H432" s="83"/>
      <c r="I432" s="53"/>
      <c r="J432" s="53"/>
      <c r="K432" s="58"/>
    </row>
    <row r="433" spans="1:11" s="3" customFormat="1" ht="12" customHeight="1" x14ac:dyDescent="0.2">
      <c r="A433" s="205"/>
      <c r="B433" s="12" t="s">
        <v>10</v>
      </c>
      <c r="C433" s="11" t="s">
        <v>33</v>
      </c>
      <c r="D433" s="11">
        <v>0.8</v>
      </c>
      <c r="E433" s="44">
        <f>VLOOKUP(B433,'Costo de Materiales'!B$4:D$350,3,FALSE)</f>
        <v>0.35088021491732146</v>
      </c>
      <c r="F433" s="206">
        <f t="shared" si="40"/>
        <v>0.28070417193385716</v>
      </c>
      <c r="G433" s="302"/>
      <c r="H433" s="83"/>
      <c r="I433" s="53"/>
      <c r="J433" s="53"/>
      <c r="K433" s="58"/>
    </row>
    <row r="434" spans="1:11" s="3" customFormat="1" ht="12" customHeight="1" x14ac:dyDescent="0.2">
      <c r="A434" s="205"/>
      <c r="B434" s="12" t="s">
        <v>109</v>
      </c>
      <c r="C434" s="11" t="s">
        <v>11</v>
      </c>
      <c r="D434" s="80">
        <f>VLOOKUP(B434,'Costo de Materiales'!B$4:D$350,3,FALSE)</f>
        <v>0.28999999999999998</v>
      </c>
      <c r="E434" s="44">
        <f>F433</f>
        <v>0.28070417193385716</v>
      </c>
      <c r="F434" s="206">
        <f t="shared" si="40"/>
        <v>8.1404209860818574E-2</v>
      </c>
      <c r="G434" s="307"/>
      <c r="H434" s="83"/>
      <c r="I434" s="53"/>
      <c r="J434" s="53"/>
      <c r="K434" s="58"/>
    </row>
    <row r="435" spans="1:11" s="1" customFormat="1" ht="12" customHeight="1" x14ac:dyDescent="0.2">
      <c r="A435" s="209">
        <v>55</v>
      </c>
      <c r="B435" s="88" t="s">
        <v>146</v>
      </c>
      <c r="C435" s="91" t="s">
        <v>6</v>
      </c>
      <c r="D435" s="91"/>
      <c r="E435" s="92"/>
      <c r="F435" s="210">
        <f>SUM(F436:F441)</f>
        <v>2.0065485661233762</v>
      </c>
      <c r="G435" s="302"/>
      <c r="H435" s="83"/>
      <c r="I435" s="53"/>
      <c r="J435" s="53"/>
      <c r="K435" s="62"/>
    </row>
    <row r="436" spans="1:11" s="3" customFormat="1" ht="12" customHeight="1" x14ac:dyDescent="0.2">
      <c r="A436" s="205"/>
      <c r="B436" s="12" t="s">
        <v>8</v>
      </c>
      <c r="C436" s="11" t="s">
        <v>19</v>
      </c>
      <c r="D436" s="11">
        <v>8</v>
      </c>
      <c r="E436" s="44">
        <f>VLOOKUP(B436,'Costo de Materiales'!B$4:D$350,3,FALSE)</f>
        <v>0.15330562338073847</v>
      </c>
      <c r="F436" s="206">
        <f t="shared" ref="F436:F441" si="41">D436*E436</f>
        <v>1.2264449870459078</v>
      </c>
      <c r="G436" s="302"/>
      <c r="H436" s="83"/>
      <c r="I436" s="53"/>
      <c r="J436" s="53"/>
      <c r="K436" s="58"/>
    </row>
    <row r="437" spans="1:11" s="3" customFormat="1" ht="12" customHeight="1" x14ac:dyDescent="0.2">
      <c r="A437" s="205"/>
      <c r="B437" s="12" t="s">
        <v>9</v>
      </c>
      <c r="C437" s="11" t="s">
        <v>6</v>
      </c>
      <c r="D437" s="11">
        <v>0.44</v>
      </c>
      <c r="E437" s="44">
        <f>VLOOKUP(B437,'Costo de Materiales'!B$4:D$350,3,FALSE)</f>
        <v>0.31100746322217132</v>
      </c>
      <c r="F437" s="206">
        <f t="shared" si="41"/>
        <v>0.13684328381775537</v>
      </c>
      <c r="G437" s="302"/>
      <c r="H437" s="83"/>
      <c r="I437" s="53"/>
      <c r="J437" s="53"/>
      <c r="K437" s="58"/>
    </row>
    <row r="438" spans="1:11" s="3" customFormat="1" ht="12" customHeight="1" x14ac:dyDescent="0.2">
      <c r="A438" s="205"/>
      <c r="B438" s="12" t="s">
        <v>142</v>
      </c>
      <c r="C438" s="11" t="s">
        <v>6</v>
      </c>
      <c r="D438" s="11">
        <v>0.75</v>
      </c>
      <c r="E438" s="44">
        <f>VLOOKUP(B438,'Costo de Materiales'!B$4:D$350,3,FALSE)</f>
        <v>0.31100746322217132</v>
      </c>
      <c r="F438" s="206">
        <f t="shared" si="41"/>
        <v>0.23325559741662849</v>
      </c>
      <c r="G438" s="302"/>
      <c r="H438" s="83"/>
      <c r="I438" s="53"/>
      <c r="J438" s="53"/>
      <c r="K438" s="58"/>
    </row>
    <row r="439" spans="1:11" s="3" customFormat="1" ht="12" customHeight="1" x14ac:dyDescent="0.2">
      <c r="A439" s="205"/>
      <c r="B439" s="12" t="s">
        <v>111</v>
      </c>
      <c r="C439" s="11" t="s">
        <v>11</v>
      </c>
      <c r="D439" s="11">
        <v>0.03</v>
      </c>
      <c r="E439" s="44">
        <f>SUM(F436:F438)</f>
        <v>1.5965438682802917</v>
      </c>
      <c r="F439" s="206">
        <f t="shared" si="41"/>
        <v>4.7896316048408751E-2</v>
      </c>
      <c r="G439" s="302"/>
      <c r="H439" s="83"/>
      <c r="I439" s="53"/>
      <c r="J439" s="53"/>
      <c r="K439" s="58"/>
    </row>
    <row r="440" spans="1:11" s="3" customFormat="1" ht="12" customHeight="1" x14ac:dyDescent="0.2">
      <c r="A440" s="205"/>
      <c r="B440" s="12" t="s">
        <v>10</v>
      </c>
      <c r="C440" s="11" t="s">
        <v>33</v>
      </c>
      <c r="D440" s="11">
        <v>0.8</v>
      </c>
      <c r="E440" s="44">
        <f>VLOOKUP(B440,'Costo de Materiales'!B$4:D$350,3,FALSE)</f>
        <v>0.35088021491732146</v>
      </c>
      <c r="F440" s="206">
        <f t="shared" si="41"/>
        <v>0.28070417193385716</v>
      </c>
      <c r="G440" s="302"/>
      <c r="H440" s="83"/>
      <c r="I440" s="53"/>
      <c r="J440" s="53"/>
      <c r="K440" s="58"/>
    </row>
    <row r="441" spans="1:11" s="3" customFormat="1" ht="12" customHeight="1" x14ac:dyDescent="0.2">
      <c r="A441" s="207"/>
      <c r="B441" s="26" t="s">
        <v>109</v>
      </c>
      <c r="C441" s="23" t="s">
        <v>11</v>
      </c>
      <c r="D441" s="80">
        <f>VLOOKUP(B441,'Costo de Materiales'!B$4:D$350,3,FALSE)</f>
        <v>0.28999999999999998</v>
      </c>
      <c r="E441" s="45">
        <f>F440</f>
        <v>0.28070417193385716</v>
      </c>
      <c r="F441" s="206">
        <f t="shared" si="41"/>
        <v>8.1404209860818574E-2</v>
      </c>
      <c r="G441" s="302"/>
      <c r="H441" s="83"/>
      <c r="I441" s="53"/>
      <c r="J441" s="53"/>
      <c r="K441" s="58"/>
    </row>
    <row r="442" spans="1:11" s="1" customFormat="1" ht="12" customHeight="1" x14ac:dyDescent="0.2">
      <c r="A442" s="209">
        <v>56</v>
      </c>
      <c r="B442" s="88" t="s">
        <v>362</v>
      </c>
      <c r="C442" s="91" t="s">
        <v>6</v>
      </c>
      <c r="D442" s="91"/>
      <c r="E442" s="94"/>
      <c r="F442" s="210">
        <f>SUM(F443:F449)</f>
        <v>2.0249359493639973</v>
      </c>
      <c r="G442" s="303"/>
      <c r="H442" s="83"/>
      <c r="I442" s="53"/>
      <c r="J442" s="53"/>
      <c r="K442" s="62"/>
    </row>
    <row r="443" spans="1:11" s="3" customFormat="1" ht="12" customHeight="1" x14ac:dyDescent="0.2">
      <c r="A443" s="205"/>
      <c r="B443" s="12" t="s">
        <v>8</v>
      </c>
      <c r="C443" s="11" t="s">
        <v>19</v>
      </c>
      <c r="D443" s="11">
        <v>8</v>
      </c>
      <c r="E443" s="44">
        <f>VLOOKUP(B443,'Costo de Materiales'!B$4:D$350,3,FALSE)</f>
        <v>0.15330562338073847</v>
      </c>
      <c r="F443" s="206">
        <f t="shared" ref="F443:F449" si="42">D443*E443</f>
        <v>1.2264449870459078</v>
      </c>
      <c r="G443" s="302"/>
      <c r="H443" s="83"/>
      <c r="I443" s="53"/>
      <c r="J443" s="53"/>
      <c r="K443" s="58"/>
    </row>
    <row r="444" spans="1:11" s="3" customFormat="1" ht="12" customHeight="1" x14ac:dyDescent="0.2">
      <c r="A444" s="205"/>
      <c r="B444" s="12" t="s">
        <v>9</v>
      </c>
      <c r="C444" s="11" t="s">
        <v>6</v>
      </c>
      <c r="D444" s="11">
        <v>0.44</v>
      </c>
      <c r="E444" s="44">
        <f>VLOOKUP(B444,'Costo de Materiales'!B$4:D$350,3,FALSE)</f>
        <v>0.31100746322217132</v>
      </c>
      <c r="F444" s="206">
        <f t="shared" si="42"/>
        <v>0.13684328381775537</v>
      </c>
      <c r="G444" s="302"/>
      <c r="H444" s="83"/>
      <c r="I444" s="53"/>
      <c r="J444" s="53"/>
      <c r="K444" s="58"/>
    </row>
    <row r="445" spans="1:11" s="3" customFormat="1" ht="12" customHeight="1" x14ac:dyDescent="0.2">
      <c r="A445" s="205"/>
      <c r="B445" s="12" t="s">
        <v>142</v>
      </c>
      <c r="C445" s="11" t="s">
        <v>6</v>
      </c>
      <c r="D445" s="11">
        <v>0.75</v>
      </c>
      <c r="E445" s="44">
        <f>VLOOKUP(B445,'Costo de Materiales'!B$4:D$350,3,FALSE)</f>
        <v>0.31100746322217132</v>
      </c>
      <c r="F445" s="206">
        <f t="shared" si="42"/>
        <v>0.23325559741662849</v>
      </c>
      <c r="G445" s="302"/>
      <c r="H445" s="83"/>
      <c r="I445" s="53"/>
      <c r="J445" s="53"/>
      <c r="K445" s="58"/>
    </row>
    <row r="446" spans="1:11" s="3" customFormat="1" ht="12" customHeight="1" x14ac:dyDescent="0.2">
      <c r="A446" s="205"/>
      <c r="B446" s="12" t="s">
        <v>192</v>
      </c>
      <c r="C446" s="11" t="s">
        <v>20</v>
      </c>
      <c r="D446" s="21">
        <v>0.65</v>
      </c>
      <c r="E446" s="44">
        <f>VLOOKUP(B446,'Costo de Materiales'!B$4:D$350,3,FALSE)</f>
        <v>2.7464351367619433E-2</v>
      </c>
      <c r="F446" s="206">
        <f t="shared" si="42"/>
        <v>1.7851828388952631E-2</v>
      </c>
      <c r="G446" s="302"/>
      <c r="H446" s="83"/>
      <c r="I446" s="53"/>
      <c r="J446" s="53"/>
      <c r="K446" s="58"/>
    </row>
    <row r="447" spans="1:11" s="3" customFormat="1" ht="12" customHeight="1" x14ac:dyDescent="0.2">
      <c r="A447" s="205"/>
      <c r="B447" s="12" t="s">
        <v>111</v>
      </c>
      <c r="C447" s="11" t="s">
        <v>11</v>
      </c>
      <c r="D447" s="11">
        <v>0.03</v>
      </c>
      <c r="E447" s="44">
        <f>SUM(F443:F446)</f>
        <v>1.6143956966692443</v>
      </c>
      <c r="F447" s="206">
        <f t="shared" si="42"/>
        <v>4.8431870900077327E-2</v>
      </c>
      <c r="G447" s="302"/>
      <c r="H447" s="83"/>
      <c r="I447" s="53"/>
      <c r="J447" s="53"/>
      <c r="K447" s="58"/>
    </row>
    <row r="448" spans="1:11" s="3" customFormat="1" ht="12" customHeight="1" x14ac:dyDescent="0.2">
      <c r="A448" s="205"/>
      <c r="B448" s="12" t="s">
        <v>10</v>
      </c>
      <c r="C448" s="11" t="s">
        <v>33</v>
      </c>
      <c r="D448" s="11">
        <v>0.8</v>
      </c>
      <c r="E448" s="44">
        <f>VLOOKUP(B448,'Costo de Materiales'!B$4:D$350,3,FALSE)</f>
        <v>0.35088021491732146</v>
      </c>
      <c r="F448" s="206">
        <f t="shared" si="42"/>
        <v>0.28070417193385716</v>
      </c>
      <c r="G448" s="302"/>
      <c r="H448" s="83"/>
      <c r="I448" s="53"/>
      <c r="J448" s="53"/>
      <c r="K448" s="58"/>
    </row>
    <row r="449" spans="1:11" s="3" customFormat="1" ht="12" customHeight="1" x14ac:dyDescent="0.2">
      <c r="A449" s="207"/>
      <c r="B449" s="26" t="s">
        <v>109</v>
      </c>
      <c r="C449" s="23" t="s">
        <v>11</v>
      </c>
      <c r="D449" s="80">
        <f>VLOOKUP(B449,'Costo de Materiales'!B$4:D$350,3,FALSE)</f>
        <v>0.28999999999999998</v>
      </c>
      <c r="E449" s="45">
        <f>F448</f>
        <v>0.28070417193385716</v>
      </c>
      <c r="F449" s="206">
        <f t="shared" si="42"/>
        <v>8.1404209860818574E-2</v>
      </c>
      <c r="G449" s="307"/>
      <c r="H449" s="83"/>
      <c r="I449" s="53"/>
      <c r="J449" s="53"/>
      <c r="K449" s="58"/>
    </row>
    <row r="450" spans="1:11" s="9" customFormat="1" ht="12" customHeight="1" x14ac:dyDescent="0.2">
      <c r="A450" s="209">
        <v>57</v>
      </c>
      <c r="B450" s="88" t="s">
        <v>128</v>
      </c>
      <c r="C450" s="91" t="s">
        <v>17</v>
      </c>
      <c r="D450" s="91"/>
      <c r="E450" s="100"/>
      <c r="F450" s="210">
        <f>SUM(F451:F452)</f>
        <v>6.988146309394053</v>
      </c>
      <c r="G450" s="302"/>
      <c r="H450" s="83"/>
      <c r="I450" s="53"/>
      <c r="J450" s="53"/>
      <c r="K450" s="57"/>
    </row>
    <row r="451" spans="1:11" s="3" customFormat="1" ht="12" customHeight="1" x14ac:dyDescent="0.2">
      <c r="A451" s="205"/>
      <c r="B451" s="17" t="s">
        <v>124</v>
      </c>
      <c r="C451" s="21" t="s">
        <v>17</v>
      </c>
      <c r="D451" s="21">
        <v>1</v>
      </c>
      <c r="E451" s="49">
        <f>VLOOKUP(B451,'Costo de Materiales'!B$4:D$350,3,FALSE)</f>
        <v>6.0312002687104487</v>
      </c>
      <c r="F451" s="226">
        <f>D451*E451</f>
        <v>6.0312002687104487</v>
      </c>
      <c r="G451" s="302"/>
      <c r="H451" s="83"/>
      <c r="I451" s="53"/>
      <c r="J451" s="53"/>
      <c r="K451" s="58"/>
    </row>
    <row r="452" spans="1:11" s="3" customFormat="1" ht="12" customHeight="1" x14ac:dyDescent="0.2">
      <c r="A452" s="205"/>
      <c r="B452" s="12" t="s">
        <v>649</v>
      </c>
      <c r="C452" s="21" t="s">
        <v>6</v>
      </c>
      <c r="D452" s="21">
        <v>1</v>
      </c>
      <c r="E452" s="49">
        <f>VLOOKUP(B452,'Costo de Materiales'!B$4:D$350,3,FALSE)</f>
        <v>0.956946040683604</v>
      </c>
      <c r="F452" s="226">
        <f>D452*E452</f>
        <v>0.956946040683604</v>
      </c>
      <c r="G452" s="302"/>
      <c r="H452" s="83"/>
      <c r="I452" s="53"/>
      <c r="J452" s="53"/>
      <c r="K452" s="58"/>
    </row>
    <row r="453" spans="1:11" s="3" customFormat="1" ht="12" customHeight="1" x14ac:dyDescent="0.2">
      <c r="A453" s="220">
        <v>58</v>
      </c>
      <c r="B453" s="93" t="s">
        <v>484</v>
      </c>
      <c r="C453" s="95" t="s">
        <v>17</v>
      </c>
      <c r="D453" s="95"/>
      <c r="E453" s="92"/>
      <c r="F453" s="210">
        <f>SUM(F454:F461)</f>
        <v>9.7974660800144697</v>
      </c>
      <c r="G453" s="303"/>
      <c r="H453" s="83"/>
      <c r="I453" s="53"/>
      <c r="J453" s="53"/>
      <c r="K453" s="58"/>
    </row>
    <row r="454" spans="1:11" s="3" customFormat="1" ht="12" customHeight="1" x14ac:dyDescent="0.2">
      <c r="A454" s="221"/>
      <c r="B454" s="12" t="s">
        <v>657</v>
      </c>
      <c r="C454" s="20" t="s">
        <v>17</v>
      </c>
      <c r="D454" s="20">
        <v>1</v>
      </c>
      <c r="E454" s="44">
        <f>VLOOKUP(B454,'Costo de Materiales'!B$4:D$350,3,FALSE)</f>
        <v>6.1244546603750658</v>
      </c>
      <c r="F454" s="206">
        <f t="shared" ref="F454:F461" si="43">D454*E454</f>
        <v>6.1244546603750658</v>
      </c>
      <c r="G454" s="302"/>
      <c r="H454" s="83"/>
      <c r="I454" s="53"/>
      <c r="J454" s="53"/>
      <c r="K454" s="58"/>
    </row>
    <row r="455" spans="1:11" s="3" customFormat="1" ht="12" customHeight="1" x14ac:dyDescent="0.2">
      <c r="A455" s="221"/>
      <c r="B455" s="17" t="s">
        <v>486</v>
      </c>
      <c r="C455" s="11" t="s">
        <v>17</v>
      </c>
      <c r="D455" s="20">
        <v>4.5</v>
      </c>
      <c r="E455" s="44">
        <f>VLOOKUP(B455,'Costo de Materiales'!B$4:D$350,3,FALSE)</f>
        <v>0.67311584501684707</v>
      </c>
      <c r="F455" s="206">
        <f t="shared" si="43"/>
        <v>3.0290213025758117</v>
      </c>
      <c r="G455" s="302"/>
      <c r="H455" s="83"/>
      <c r="I455" s="53"/>
      <c r="J455" s="53"/>
      <c r="K455" s="58"/>
    </row>
    <row r="456" spans="1:11" s="3" customFormat="1" ht="12" customHeight="1" x14ac:dyDescent="0.2">
      <c r="A456" s="221"/>
      <c r="B456" s="17" t="s">
        <v>275</v>
      </c>
      <c r="C456" s="11" t="s">
        <v>18</v>
      </c>
      <c r="D456" s="20">
        <v>0.5</v>
      </c>
      <c r="E456" s="44">
        <f>VLOOKUP(B456,'Costo de Materiales'!B$4:D$350,3,FALSE)</f>
        <v>0.41866389279907673</v>
      </c>
      <c r="F456" s="206">
        <f t="shared" si="43"/>
        <v>0.20933194639953837</v>
      </c>
      <c r="G456" s="302"/>
      <c r="H456" s="83"/>
      <c r="I456" s="53"/>
      <c r="J456" s="53"/>
      <c r="K456" s="58"/>
    </row>
    <row r="457" spans="1:11" s="3" customFormat="1" ht="12" customHeight="1" x14ac:dyDescent="0.2">
      <c r="A457" s="221"/>
      <c r="B457" s="17" t="s">
        <v>487</v>
      </c>
      <c r="C457" s="11" t="s">
        <v>38</v>
      </c>
      <c r="D457" s="20">
        <v>1</v>
      </c>
      <c r="E457" s="44">
        <f>F1133</f>
        <v>5.202744138466265E-2</v>
      </c>
      <c r="F457" s="206">
        <f t="shared" si="43"/>
        <v>5.202744138466265E-2</v>
      </c>
      <c r="G457" s="302"/>
      <c r="H457" s="83"/>
      <c r="I457" s="53"/>
      <c r="J457" s="53"/>
      <c r="K457" s="58"/>
    </row>
    <row r="458" spans="1:11" s="3" customFormat="1" ht="12" customHeight="1" x14ac:dyDescent="0.2">
      <c r="A458" s="221"/>
      <c r="B458" s="12" t="s">
        <v>75</v>
      </c>
      <c r="C458" s="11" t="s">
        <v>18</v>
      </c>
      <c r="D458" s="20">
        <v>0.3</v>
      </c>
      <c r="E458" s="44">
        <f>VLOOKUP(B458,'Costo de Materiales'!B$4:D$350,3,FALSE)</f>
        <v>6.8373794606843508E-2</v>
      </c>
      <c r="F458" s="206">
        <f t="shared" si="43"/>
        <v>2.0512138382053052E-2</v>
      </c>
      <c r="G458" s="302"/>
      <c r="H458" s="83"/>
      <c r="I458" s="53"/>
      <c r="J458" s="53"/>
      <c r="K458" s="58"/>
    </row>
    <row r="459" spans="1:11" s="3" customFormat="1" ht="12" customHeight="1" x14ac:dyDescent="0.2">
      <c r="A459" s="221"/>
      <c r="B459" s="12" t="s">
        <v>1</v>
      </c>
      <c r="C459" s="11" t="s">
        <v>33</v>
      </c>
      <c r="D459" s="20">
        <v>0.4</v>
      </c>
      <c r="E459" s="44">
        <f>VLOOKUP(B459,'Costo de Materiales'!B$4:D$350,3,FALSE)</f>
        <v>0.35090000000000005</v>
      </c>
      <c r="F459" s="206">
        <f t="shared" si="43"/>
        <v>0.14036000000000001</v>
      </c>
      <c r="G459" s="302"/>
      <c r="H459" s="83"/>
      <c r="I459" s="53"/>
      <c r="J459" s="53"/>
      <c r="K459" s="58"/>
    </row>
    <row r="460" spans="1:11" s="3" customFormat="1" ht="12" customHeight="1" x14ac:dyDescent="0.2">
      <c r="A460" s="221"/>
      <c r="B460" s="12" t="s">
        <v>10</v>
      </c>
      <c r="C460" s="11" t="s">
        <v>33</v>
      </c>
      <c r="D460" s="20">
        <v>0.4</v>
      </c>
      <c r="E460" s="44">
        <f>VLOOKUP(B460,'Costo de Materiales'!B$4:D$350,3,FALSE)</f>
        <v>0.35088021491732146</v>
      </c>
      <c r="F460" s="206">
        <f t="shared" si="43"/>
        <v>0.14035208596692858</v>
      </c>
      <c r="G460" s="302"/>
      <c r="H460" s="83"/>
      <c r="I460" s="53"/>
      <c r="J460" s="53"/>
      <c r="K460" s="58"/>
    </row>
    <row r="461" spans="1:11" s="3" customFormat="1" ht="12" customHeight="1" x14ac:dyDescent="0.2">
      <c r="A461" s="222"/>
      <c r="B461" s="27" t="s">
        <v>109</v>
      </c>
      <c r="C461" s="20" t="s">
        <v>17</v>
      </c>
      <c r="D461" s="80">
        <f>VLOOKUP(B461,'Costo de Materiales'!B$4:D$350,3,FALSE)</f>
        <v>0.28999999999999998</v>
      </c>
      <c r="E461" s="44">
        <f>SUM(F459:F460)</f>
        <v>0.28071208596692859</v>
      </c>
      <c r="F461" s="206">
        <f t="shared" si="43"/>
        <v>8.1406504930409282E-2</v>
      </c>
      <c r="G461" s="307"/>
      <c r="H461" s="83"/>
      <c r="I461" s="53"/>
      <c r="J461" s="53"/>
      <c r="K461" s="58"/>
    </row>
    <row r="462" spans="1:11" s="13" customFormat="1" ht="12" customHeight="1" x14ac:dyDescent="0.2">
      <c r="A462" s="220">
        <v>59</v>
      </c>
      <c r="B462" s="88" t="s">
        <v>125</v>
      </c>
      <c r="C462" s="91" t="s">
        <v>38</v>
      </c>
      <c r="D462" s="91"/>
      <c r="E462" s="100"/>
      <c r="F462" s="210">
        <f>SUM(F463:F466)</f>
        <v>0.10861929185600598</v>
      </c>
      <c r="G462" s="302"/>
      <c r="H462" s="83"/>
      <c r="I462" s="53"/>
      <c r="J462" s="53"/>
      <c r="K462" s="72"/>
    </row>
    <row r="463" spans="1:11" s="3" customFormat="1" ht="12" customHeight="1" x14ac:dyDescent="0.2">
      <c r="A463" s="221"/>
      <c r="B463" s="10" t="s">
        <v>126</v>
      </c>
      <c r="C463" s="21" t="s">
        <v>650</v>
      </c>
      <c r="D463" s="21">
        <v>0.05</v>
      </c>
      <c r="E463" s="49">
        <f>VLOOKUP(B463,'Costo de Materiales'!B$4:D$350,3,FALSE)</f>
        <v>0.80416960528846659</v>
      </c>
      <c r="F463" s="227">
        <f>D463*E463</f>
        <v>4.0208480264423335E-2</v>
      </c>
      <c r="G463" s="302"/>
      <c r="H463" s="83"/>
      <c r="I463" s="53"/>
      <c r="J463" s="53"/>
      <c r="K463" s="58"/>
    </row>
    <row r="464" spans="1:11" s="3" customFormat="1" ht="12" customHeight="1" x14ac:dyDescent="0.2">
      <c r="A464" s="221"/>
      <c r="B464" s="10" t="s">
        <v>24</v>
      </c>
      <c r="C464" s="21" t="s">
        <v>20</v>
      </c>
      <c r="D464" s="21">
        <v>0.6</v>
      </c>
      <c r="E464" s="49">
        <f>VLOOKUP(B464,'Costo de Materiales'!B$4:D$350,3,FALSE)</f>
        <v>2.343851931930439E-2</v>
      </c>
      <c r="F464" s="227">
        <f>D464*E464</f>
        <v>1.4063111591582633E-2</v>
      </c>
      <c r="G464" s="302"/>
      <c r="H464" s="83"/>
      <c r="I464" s="53"/>
      <c r="J464" s="53"/>
      <c r="K464" s="58"/>
    </row>
    <row r="465" spans="1:11" s="3" customFormat="1" ht="12" customHeight="1" x14ac:dyDescent="0.2">
      <c r="A465" s="221"/>
      <c r="B465" s="12" t="s">
        <v>127</v>
      </c>
      <c r="C465" s="21" t="s">
        <v>33</v>
      </c>
      <c r="D465" s="21">
        <v>0.05</v>
      </c>
      <c r="E465" s="49">
        <f>VLOOKUP(B465,'Costo de Materiales'!B$4:D$350,3,FALSE)</f>
        <v>0.84260000000000024</v>
      </c>
      <c r="F465" s="227">
        <f>D465*E465</f>
        <v>4.2130000000000015E-2</v>
      </c>
      <c r="G465" s="302"/>
      <c r="H465" s="83"/>
      <c r="I465" s="53"/>
      <c r="J465" s="53"/>
      <c r="K465" s="58"/>
    </row>
    <row r="466" spans="1:11" s="3" customFormat="1" ht="12" customHeight="1" x14ac:dyDescent="0.2">
      <c r="A466" s="222"/>
      <c r="B466" s="22" t="s">
        <v>109</v>
      </c>
      <c r="C466" s="32" t="s">
        <v>11</v>
      </c>
      <c r="D466" s="80">
        <f>VLOOKUP(B466,'Costo de Materiales'!B$4:D$350,3,FALSE)</f>
        <v>0.28999999999999998</v>
      </c>
      <c r="E466" s="50">
        <f>F465</f>
        <v>4.2130000000000015E-2</v>
      </c>
      <c r="F466" s="228">
        <f>D466*E466</f>
        <v>1.2217700000000003E-2</v>
      </c>
      <c r="G466" s="302"/>
      <c r="H466" s="83"/>
      <c r="I466" s="53"/>
      <c r="J466" s="53"/>
      <c r="K466" s="58"/>
    </row>
    <row r="467" spans="1:11" s="38" customFormat="1" ht="12" customHeight="1" x14ac:dyDescent="0.2">
      <c r="A467" s="220">
        <v>60</v>
      </c>
      <c r="B467" s="88" t="s">
        <v>129</v>
      </c>
      <c r="C467" s="91" t="s">
        <v>38</v>
      </c>
      <c r="D467" s="91"/>
      <c r="E467" s="100"/>
      <c r="F467" s="210">
        <f>SUM(F469:F470)</f>
        <v>4.0739490000000003E-2</v>
      </c>
      <c r="G467" s="303"/>
      <c r="H467" s="83"/>
      <c r="I467" s="53"/>
      <c r="J467" s="53"/>
      <c r="K467" s="73"/>
    </row>
    <row r="468" spans="1:11" s="39" customFormat="1" ht="12" customHeight="1" x14ac:dyDescent="0.2">
      <c r="A468" s="229"/>
      <c r="B468" s="16" t="s">
        <v>211</v>
      </c>
      <c r="C468" s="21" t="s">
        <v>11</v>
      </c>
      <c r="D468" s="21">
        <v>0.08</v>
      </c>
      <c r="E468" s="49">
        <f>F469</f>
        <v>3.1581000000000005E-2</v>
      </c>
      <c r="F468" s="227">
        <f>D468*E468</f>
        <v>2.5264800000000007E-3</v>
      </c>
      <c r="G468" s="302"/>
      <c r="H468" s="83"/>
      <c r="I468" s="53"/>
      <c r="J468" s="53"/>
      <c r="K468" s="68"/>
    </row>
    <row r="469" spans="1:11" s="39" customFormat="1" ht="12" customHeight="1" x14ac:dyDescent="0.2">
      <c r="A469" s="229"/>
      <c r="B469" s="10" t="s">
        <v>1</v>
      </c>
      <c r="C469" s="21" t="s">
        <v>33</v>
      </c>
      <c r="D469" s="21">
        <v>0.09</v>
      </c>
      <c r="E469" s="49">
        <f>VLOOKUP(B469,'Costo de Materiales'!B$4:D$350,3,FALSE)</f>
        <v>0.35090000000000005</v>
      </c>
      <c r="F469" s="227">
        <f>D469*E469</f>
        <v>3.1581000000000005E-2</v>
      </c>
      <c r="G469" s="302"/>
      <c r="H469" s="83"/>
      <c r="I469" s="53"/>
      <c r="J469" s="53"/>
      <c r="K469" s="68"/>
    </row>
    <row r="470" spans="1:11" s="39" customFormat="1" ht="12" customHeight="1" x14ac:dyDescent="0.2">
      <c r="A470" s="230"/>
      <c r="B470" s="22" t="s">
        <v>93</v>
      </c>
      <c r="C470" s="32" t="s">
        <v>11</v>
      </c>
      <c r="D470" s="80">
        <f>VLOOKUP(B470,'Costo de Materiales'!B$4:D$350,3,FALSE)</f>
        <v>0.28999999999999998</v>
      </c>
      <c r="E470" s="50">
        <f>F469</f>
        <v>3.1581000000000005E-2</v>
      </c>
      <c r="F470" s="228">
        <f>D470*E470</f>
        <v>9.15849E-3</v>
      </c>
      <c r="G470" s="307"/>
      <c r="H470" s="83"/>
      <c r="I470" s="53"/>
      <c r="J470" s="53"/>
      <c r="K470" s="68"/>
    </row>
    <row r="471" spans="1:11" s="3" customFormat="1" ht="12" customHeight="1" x14ac:dyDescent="0.2">
      <c r="A471" s="220">
        <v>61</v>
      </c>
      <c r="B471" s="93" t="s">
        <v>131</v>
      </c>
      <c r="C471" s="91" t="s">
        <v>6</v>
      </c>
      <c r="D471" s="95"/>
      <c r="E471" s="92"/>
      <c r="F471" s="210">
        <f>SUM(F472:F477)</f>
        <v>0.63511205599297038</v>
      </c>
      <c r="G471" s="302"/>
      <c r="H471" s="83"/>
      <c r="I471" s="53"/>
      <c r="J471" s="53"/>
      <c r="K471" s="58"/>
    </row>
    <row r="472" spans="1:11" s="3" customFormat="1" ht="12" customHeight="1" x14ac:dyDescent="0.2">
      <c r="A472" s="231"/>
      <c r="B472" s="15" t="s">
        <v>4</v>
      </c>
      <c r="C472" s="11" t="s">
        <v>6</v>
      </c>
      <c r="D472" s="20">
        <v>1.3</v>
      </c>
      <c r="E472" s="44">
        <f>VLOOKUP(B472,'Costo de Materiales'!B$4:D$350,3,FALSE)</f>
        <v>0.26134196371069224</v>
      </c>
      <c r="F472" s="206">
        <f t="shared" ref="F472:F477" si="44">D472*E472</f>
        <v>0.33974455282389993</v>
      </c>
      <c r="G472" s="302"/>
      <c r="H472" s="83"/>
      <c r="I472" s="53"/>
      <c r="J472" s="53"/>
      <c r="K472" s="58"/>
    </row>
    <row r="473" spans="1:11" s="3" customFormat="1" ht="12" customHeight="1" x14ac:dyDescent="0.2">
      <c r="A473" s="231"/>
      <c r="B473" s="15" t="s">
        <v>5</v>
      </c>
      <c r="C473" s="11" t="s">
        <v>650</v>
      </c>
      <c r="D473" s="20">
        <v>0.25</v>
      </c>
      <c r="E473" s="44">
        <f>VLOOKUP(B473,'Costo de Materiales'!B$4:D$350,3,FALSE)</f>
        <v>0.2153128591538109</v>
      </c>
      <c r="F473" s="206">
        <f t="shared" si="44"/>
        <v>5.3828214788452726E-2</v>
      </c>
      <c r="G473" s="302"/>
      <c r="H473" s="83"/>
      <c r="I473" s="53"/>
      <c r="J473" s="53"/>
      <c r="K473" s="58"/>
    </row>
    <row r="474" spans="1:11" s="3" customFormat="1" ht="12" customHeight="1" x14ac:dyDescent="0.2">
      <c r="A474" s="231"/>
      <c r="B474" s="16" t="s">
        <v>211</v>
      </c>
      <c r="C474" s="11" t="s">
        <v>11</v>
      </c>
      <c r="D474" s="20">
        <v>0.05</v>
      </c>
      <c r="E474" s="44">
        <f>SUM(F472:F473)</f>
        <v>0.39357276761235266</v>
      </c>
      <c r="F474" s="206">
        <f t="shared" si="44"/>
        <v>1.9678638380617633E-2</v>
      </c>
      <c r="G474" s="302"/>
      <c r="H474" s="83"/>
      <c r="I474" s="53"/>
      <c r="J474" s="53"/>
      <c r="K474" s="58"/>
    </row>
    <row r="475" spans="1:11" s="3" customFormat="1" ht="12" customHeight="1" x14ac:dyDescent="0.2">
      <c r="A475" s="231"/>
      <c r="B475" s="15" t="s">
        <v>127</v>
      </c>
      <c r="C475" s="11" t="s">
        <v>33</v>
      </c>
      <c r="D475" s="20">
        <v>0.1</v>
      </c>
      <c r="E475" s="44">
        <f>VLOOKUP(B475,'Costo de Materiales'!B$4:D$350,3,FALSE)</f>
        <v>0.84260000000000024</v>
      </c>
      <c r="F475" s="206">
        <f t="shared" si="44"/>
        <v>8.4260000000000029E-2</v>
      </c>
      <c r="G475" s="302"/>
      <c r="H475" s="83"/>
      <c r="I475" s="53"/>
      <c r="J475" s="53"/>
      <c r="K475" s="58"/>
    </row>
    <row r="476" spans="1:11" s="3" customFormat="1" ht="12" customHeight="1" x14ac:dyDescent="0.2">
      <c r="A476" s="231"/>
      <c r="B476" s="15" t="s">
        <v>1</v>
      </c>
      <c r="C476" s="11" t="s">
        <v>33</v>
      </c>
      <c r="D476" s="20">
        <v>0.25</v>
      </c>
      <c r="E476" s="44">
        <f>VLOOKUP(B476,'Costo de Materiales'!B$4:D$350,3,FALSE)</f>
        <v>0.35090000000000005</v>
      </c>
      <c r="F476" s="206">
        <f t="shared" si="44"/>
        <v>8.7725000000000011E-2</v>
      </c>
      <c r="G476" s="302"/>
      <c r="H476" s="83"/>
      <c r="I476" s="53"/>
      <c r="J476" s="53"/>
      <c r="K476" s="58"/>
    </row>
    <row r="477" spans="1:11" s="3" customFormat="1" ht="12" customHeight="1" x14ac:dyDescent="0.2">
      <c r="A477" s="232"/>
      <c r="B477" s="22" t="s">
        <v>93</v>
      </c>
      <c r="C477" s="23" t="s">
        <v>11</v>
      </c>
      <c r="D477" s="80">
        <f>VLOOKUP(B477,'Costo de Materiales'!B$4:D$350,3,FALSE)</f>
        <v>0.28999999999999998</v>
      </c>
      <c r="E477" s="51">
        <f>SUM(F475:F476)</f>
        <v>0.17198500000000005</v>
      </c>
      <c r="F477" s="206">
        <f t="shared" si="44"/>
        <v>4.9875650000000014E-2</v>
      </c>
      <c r="G477" s="302"/>
      <c r="H477" s="83"/>
      <c r="I477" s="53"/>
      <c r="J477" s="53"/>
      <c r="K477" s="58"/>
    </row>
    <row r="478" spans="1:11" ht="12" customHeight="1" x14ac:dyDescent="0.2">
      <c r="A478" s="209">
        <v>62</v>
      </c>
      <c r="B478" s="88" t="s">
        <v>519</v>
      </c>
      <c r="C478" s="91" t="s">
        <v>38</v>
      </c>
      <c r="D478" s="91"/>
      <c r="E478" s="92"/>
      <c r="F478" s="210">
        <f>SUM(F479:F489)</f>
        <v>0.6689312327869209</v>
      </c>
      <c r="G478" s="303"/>
      <c r="H478" s="83"/>
      <c r="I478" s="53"/>
      <c r="J478" s="53"/>
    </row>
    <row r="479" spans="1:11" s="3" customFormat="1" ht="12" customHeight="1" x14ac:dyDescent="0.2">
      <c r="A479" s="205"/>
      <c r="B479" s="12" t="s">
        <v>12</v>
      </c>
      <c r="C479" s="11" t="s">
        <v>18</v>
      </c>
      <c r="D479" s="11">
        <v>0.02</v>
      </c>
      <c r="E479" s="44">
        <f>VLOOKUP(B479,'Costo de Materiales'!B$4:D$350,3,FALSE)</f>
        <v>8.0335620115388556E-2</v>
      </c>
      <c r="F479" s="206">
        <f>D479*E479</f>
        <v>1.6067124023077712E-3</v>
      </c>
      <c r="G479" s="302"/>
      <c r="H479" s="83"/>
      <c r="I479" s="53"/>
      <c r="J479" s="53"/>
      <c r="K479" s="58"/>
    </row>
    <row r="480" spans="1:11" s="3" customFormat="1" ht="12" customHeight="1" x14ac:dyDescent="0.2">
      <c r="A480" s="205"/>
      <c r="B480" s="10" t="s">
        <v>123</v>
      </c>
      <c r="C480" s="11" t="s">
        <v>38</v>
      </c>
      <c r="D480" s="11">
        <v>1.05</v>
      </c>
      <c r="E480" s="44">
        <f>VLOOKUP(B480,'Costo de Materiales'!B$4:D$350,3,FALSE)</f>
        <v>0.15775255480669212</v>
      </c>
      <c r="F480" s="206">
        <f t="shared" ref="F480:F489" si="45">D480*E480</f>
        <v>0.16564018254702673</v>
      </c>
      <c r="G480" s="302"/>
      <c r="H480" s="83"/>
      <c r="I480" s="53"/>
      <c r="J480" s="53"/>
      <c r="K480" s="58"/>
    </row>
    <row r="481" spans="1:11" s="3" customFormat="1" ht="12" customHeight="1" x14ac:dyDescent="0.2">
      <c r="A481" s="205"/>
      <c r="B481" s="17" t="s">
        <v>289</v>
      </c>
      <c r="C481" s="11" t="s">
        <v>17</v>
      </c>
      <c r="D481" s="11">
        <v>0.6</v>
      </c>
      <c r="E481" s="44">
        <f>VLOOKUP(B481,'Costo de Materiales'!B$4:D$350,3,FALSE)</f>
        <v>7.1483869239065218E-2</v>
      </c>
      <c r="F481" s="206">
        <f t="shared" si="45"/>
        <v>4.2890321543439129E-2</v>
      </c>
      <c r="G481" s="302"/>
      <c r="H481" s="83"/>
      <c r="I481" s="53"/>
      <c r="J481" s="53"/>
      <c r="K481" s="58"/>
    </row>
    <row r="482" spans="1:11" s="3" customFormat="1" ht="12" customHeight="1" x14ac:dyDescent="0.2">
      <c r="A482" s="205"/>
      <c r="B482" s="12" t="s">
        <v>13</v>
      </c>
      <c r="C482" s="11" t="s">
        <v>18</v>
      </c>
      <c r="D482" s="11">
        <v>0.15</v>
      </c>
      <c r="E482" s="44">
        <f>VLOOKUP(B482,'Costo de Materiales'!B$4:D$350,3,FALSE)</f>
        <v>4.202158394065348E-2</v>
      </c>
      <c r="F482" s="206">
        <f t="shared" si="45"/>
        <v>6.3032375910980218E-3</v>
      </c>
      <c r="G482" s="302"/>
      <c r="H482" s="83"/>
      <c r="I482" s="53"/>
      <c r="J482" s="53"/>
      <c r="K482" s="58"/>
    </row>
    <row r="483" spans="1:11" s="3" customFormat="1" ht="12" customHeight="1" x14ac:dyDescent="0.2">
      <c r="A483" s="205"/>
      <c r="B483" s="12" t="s">
        <v>71</v>
      </c>
      <c r="C483" s="11" t="s">
        <v>18</v>
      </c>
      <c r="D483" s="11">
        <v>0.125</v>
      </c>
      <c r="E483" s="44">
        <f>VLOOKUP(B483,'Costo de Materiales'!B$4:D$350,3,FALSE)</f>
        <v>4.8230080450453641E-2</v>
      </c>
      <c r="F483" s="206">
        <f t="shared" si="45"/>
        <v>6.0287600563067052E-3</v>
      </c>
      <c r="G483" s="302"/>
      <c r="H483" s="83"/>
      <c r="I483" s="53"/>
      <c r="J483" s="53"/>
      <c r="K483" s="58"/>
    </row>
    <row r="484" spans="1:11" s="3" customFormat="1" ht="12" customHeight="1" x14ac:dyDescent="0.2">
      <c r="A484" s="205"/>
      <c r="B484" s="12" t="s">
        <v>74</v>
      </c>
      <c r="C484" s="11" t="s">
        <v>18</v>
      </c>
      <c r="D484" s="11">
        <v>0.125</v>
      </c>
      <c r="E484" s="44">
        <f>VLOOKUP(B484,'Costo de Materiales'!B$4:D$350,3,FALSE)</f>
        <v>4.4115212475514143E-2</v>
      </c>
      <c r="F484" s="206">
        <f t="shared" si="45"/>
        <v>5.5144015594392679E-3</v>
      </c>
      <c r="G484" s="302"/>
      <c r="H484" s="83"/>
      <c r="I484" s="53"/>
      <c r="J484" s="53"/>
      <c r="K484" s="58"/>
    </row>
    <row r="485" spans="1:11" s="3" customFormat="1" ht="12" customHeight="1" x14ac:dyDescent="0.2">
      <c r="A485" s="205"/>
      <c r="B485" s="10" t="s">
        <v>306</v>
      </c>
      <c r="C485" s="11" t="s">
        <v>17</v>
      </c>
      <c r="D485" s="11">
        <v>2.5</v>
      </c>
      <c r="E485" s="44">
        <f>VLOOKUP(B485,'Costo de Materiales'!B$4:D$350,3,FALSE)</f>
        <v>0.1005271815738126</v>
      </c>
      <c r="F485" s="206">
        <f>D485*E485</f>
        <v>0.25131795393453149</v>
      </c>
      <c r="G485" s="302"/>
      <c r="H485" s="83"/>
      <c r="I485" s="53"/>
      <c r="J485" s="53"/>
      <c r="K485" s="58"/>
    </row>
    <row r="486" spans="1:11" s="3" customFormat="1" ht="12" customHeight="1" x14ac:dyDescent="0.2">
      <c r="A486" s="205"/>
      <c r="B486" s="12" t="s">
        <v>111</v>
      </c>
      <c r="C486" s="11" t="s">
        <v>11</v>
      </c>
      <c r="D486" s="11">
        <v>0.05</v>
      </c>
      <c r="E486" s="44">
        <f>SUM(F479:F485)</f>
        <v>0.47930156963414916</v>
      </c>
      <c r="F486" s="206">
        <f t="shared" si="45"/>
        <v>2.3965078481707459E-2</v>
      </c>
      <c r="G486" s="302"/>
      <c r="H486" s="83"/>
      <c r="I486" s="53"/>
      <c r="J486" s="53"/>
      <c r="K486" s="58"/>
    </row>
    <row r="487" spans="1:11" s="3" customFormat="1" ht="12" customHeight="1" x14ac:dyDescent="0.2">
      <c r="A487" s="205"/>
      <c r="B487" s="12" t="s">
        <v>97</v>
      </c>
      <c r="C487" s="11" t="s">
        <v>33</v>
      </c>
      <c r="D487" s="11">
        <v>0.14000000000000001</v>
      </c>
      <c r="E487" s="44">
        <f>VLOOKUP(B487,'Costo de Materiales'!B$4:D$350,3,FALSE)</f>
        <v>0.84211251580157165</v>
      </c>
      <c r="F487" s="206">
        <f t="shared" si="45"/>
        <v>0.11789575221222004</v>
      </c>
      <c r="G487" s="302"/>
      <c r="H487" s="83"/>
      <c r="I487" s="53"/>
      <c r="J487" s="53"/>
      <c r="K487" s="58"/>
    </row>
    <row r="488" spans="1:11" s="3" customFormat="1" ht="12" customHeight="1" x14ac:dyDescent="0.2">
      <c r="A488" s="205"/>
      <c r="B488" s="12" t="s">
        <v>10</v>
      </c>
      <c r="C488" s="11" t="s">
        <v>33</v>
      </c>
      <c r="D488" s="11">
        <v>0.03</v>
      </c>
      <c r="E488" s="44">
        <f>VLOOKUP(B488,'Costo de Materiales'!B$4:D$350,3,FALSE)</f>
        <v>0.35088021491732146</v>
      </c>
      <c r="F488" s="206">
        <f t="shared" si="45"/>
        <v>1.0526406447519643E-2</v>
      </c>
      <c r="G488" s="302"/>
      <c r="H488" s="83"/>
      <c r="I488" s="53"/>
      <c r="J488" s="53"/>
      <c r="K488" s="58"/>
    </row>
    <row r="489" spans="1:11" s="3" customFormat="1" ht="12" customHeight="1" x14ac:dyDescent="0.2">
      <c r="A489" s="207"/>
      <c r="B489" s="26" t="s">
        <v>109</v>
      </c>
      <c r="C489" s="23" t="s">
        <v>11</v>
      </c>
      <c r="D489" s="80">
        <f>VLOOKUP(B489,'Costo de Materiales'!B$4:D$350,3,FALSE)</f>
        <v>0.28999999999999998</v>
      </c>
      <c r="E489" s="45">
        <f>SUM(F487:F488)</f>
        <v>0.12842215865973969</v>
      </c>
      <c r="F489" s="208">
        <f t="shared" si="45"/>
        <v>3.7242426011324506E-2</v>
      </c>
      <c r="G489" s="307"/>
      <c r="H489" s="83"/>
      <c r="I489" s="53"/>
      <c r="J489" s="53"/>
      <c r="K489" s="58"/>
    </row>
    <row r="490" spans="1:11" ht="12" customHeight="1" x14ac:dyDescent="0.2">
      <c r="A490" s="209">
        <v>63</v>
      </c>
      <c r="B490" s="88" t="s">
        <v>369</v>
      </c>
      <c r="C490" s="91" t="s">
        <v>38</v>
      </c>
      <c r="D490" s="91"/>
      <c r="E490" s="94"/>
      <c r="F490" s="210">
        <f>SUM(F491:F500)</f>
        <v>0.26365214425888561</v>
      </c>
      <c r="G490" s="302"/>
      <c r="H490" s="83"/>
      <c r="I490" s="53"/>
      <c r="J490" s="53"/>
    </row>
    <row r="491" spans="1:11" s="3" customFormat="1" ht="12" customHeight="1" x14ac:dyDescent="0.2">
      <c r="A491" s="205"/>
      <c r="B491" s="12" t="s">
        <v>12</v>
      </c>
      <c r="C491" s="11" t="s">
        <v>18</v>
      </c>
      <c r="D491" s="11">
        <v>0.02</v>
      </c>
      <c r="E491" s="44">
        <f>VLOOKUP(B491,'Costo de Materiales'!B$4:D$350,3,FALSE)</f>
        <v>8.0335620115388556E-2</v>
      </c>
      <c r="F491" s="206">
        <f>D491*E491</f>
        <v>1.6067124023077712E-3</v>
      </c>
      <c r="G491" s="302"/>
      <c r="H491" s="83"/>
      <c r="I491" s="53"/>
      <c r="J491" s="53"/>
      <c r="K491" s="58"/>
    </row>
    <row r="492" spans="1:11" s="3" customFormat="1" ht="12" customHeight="1" x14ac:dyDescent="0.2">
      <c r="A492" s="205"/>
      <c r="B492" s="17" t="s">
        <v>284</v>
      </c>
      <c r="C492" s="11" t="s">
        <v>17</v>
      </c>
      <c r="D492" s="11">
        <v>2.5</v>
      </c>
      <c r="E492" s="44">
        <f>VLOOKUP(B492,'Costo de Materiales'!B$4:D$350,3,FALSE)</f>
        <v>4.0670206729053172E-2</v>
      </c>
      <c r="F492" s="206">
        <f t="shared" ref="F492:F500" si="46">D492*E492</f>
        <v>0.10167551682263293</v>
      </c>
      <c r="G492" s="302"/>
      <c r="H492" s="83"/>
      <c r="I492" s="53"/>
      <c r="J492" s="53"/>
      <c r="K492" s="58"/>
    </row>
    <row r="493" spans="1:11" s="3" customFormat="1" ht="12" customHeight="1" x14ac:dyDescent="0.2">
      <c r="A493" s="205"/>
      <c r="B493" s="12" t="s">
        <v>285</v>
      </c>
      <c r="C493" s="11" t="s">
        <v>17</v>
      </c>
      <c r="D493" s="11">
        <v>0.5</v>
      </c>
      <c r="E493" s="44">
        <f>VLOOKUP(B493,'Costo de Materiales'!B$4:D$350,3,FALSE)</f>
        <v>3.1770608550695655E-2</v>
      </c>
      <c r="F493" s="206">
        <f t="shared" si="46"/>
        <v>1.5885304275347827E-2</v>
      </c>
      <c r="G493" s="302"/>
      <c r="H493" s="83"/>
      <c r="I493" s="53"/>
      <c r="J493" s="53"/>
      <c r="K493" s="58"/>
    </row>
    <row r="494" spans="1:11" s="3" customFormat="1" ht="12" customHeight="1" x14ac:dyDescent="0.2">
      <c r="A494" s="205"/>
      <c r="B494" s="12" t="s">
        <v>13</v>
      </c>
      <c r="C494" s="11" t="s">
        <v>18</v>
      </c>
      <c r="D494" s="11">
        <v>0.15</v>
      </c>
      <c r="E494" s="44">
        <f>VLOOKUP(B494,'Costo de Materiales'!B$4:D$350,3,FALSE)</f>
        <v>4.202158394065348E-2</v>
      </c>
      <c r="F494" s="206">
        <f t="shared" si="46"/>
        <v>6.3032375910980218E-3</v>
      </c>
      <c r="G494" s="302"/>
      <c r="H494" s="83"/>
      <c r="I494" s="53"/>
      <c r="J494" s="53"/>
      <c r="K494" s="58"/>
    </row>
    <row r="495" spans="1:11" s="3" customFormat="1" ht="12" customHeight="1" x14ac:dyDescent="0.2">
      <c r="A495" s="205"/>
      <c r="B495" s="12" t="s">
        <v>71</v>
      </c>
      <c r="C495" s="11" t="s">
        <v>18</v>
      </c>
      <c r="D495" s="11">
        <v>0.1</v>
      </c>
      <c r="E495" s="44">
        <f>VLOOKUP(B495,'Costo de Materiales'!B$4:D$350,3,FALSE)</f>
        <v>4.8230080450453641E-2</v>
      </c>
      <c r="F495" s="206">
        <f t="shared" si="46"/>
        <v>4.8230080450453643E-3</v>
      </c>
      <c r="G495" s="302"/>
      <c r="H495" s="83"/>
      <c r="I495" s="53"/>
      <c r="J495" s="53"/>
      <c r="K495" s="58"/>
    </row>
    <row r="496" spans="1:11" s="3" customFormat="1" ht="12" customHeight="1" x14ac:dyDescent="0.2">
      <c r="A496" s="205"/>
      <c r="B496" s="12" t="s">
        <v>74</v>
      </c>
      <c r="C496" s="11" t="s">
        <v>18</v>
      </c>
      <c r="D496" s="11">
        <v>0.1</v>
      </c>
      <c r="E496" s="44">
        <f>VLOOKUP(B496,'Costo de Materiales'!B$4:D$350,3,FALSE)</f>
        <v>4.4115212475514143E-2</v>
      </c>
      <c r="F496" s="206">
        <f t="shared" si="46"/>
        <v>4.4115212475514141E-3</v>
      </c>
      <c r="G496" s="302"/>
      <c r="H496" s="83"/>
      <c r="I496" s="53"/>
      <c r="J496" s="53"/>
      <c r="K496" s="58"/>
    </row>
    <row r="497" spans="1:11" s="3" customFormat="1" ht="12" customHeight="1" x14ac:dyDescent="0.2">
      <c r="A497" s="205"/>
      <c r="B497" s="12" t="s">
        <v>111</v>
      </c>
      <c r="C497" s="11" t="s">
        <v>11</v>
      </c>
      <c r="D497" s="11">
        <v>0.05</v>
      </c>
      <c r="E497" s="44">
        <f>SUM(F491:F496)</f>
        <v>0.13470530038398335</v>
      </c>
      <c r="F497" s="206">
        <f t="shared" si="46"/>
        <v>6.7352650191991673E-3</v>
      </c>
      <c r="G497" s="302"/>
      <c r="H497" s="83"/>
      <c r="I497" s="53"/>
      <c r="J497" s="53"/>
      <c r="K497" s="58"/>
    </row>
    <row r="498" spans="1:11" s="3" customFormat="1" ht="12" customHeight="1" x14ac:dyDescent="0.2">
      <c r="A498" s="205"/>
      <c r="B498" s="12" t="s">
        <v>97</v>
      </c>
      <c r="C498" s="11" t="s">
        <v>33</v>
      </c>
      <c r="D498" s="11">
        <v>0.1</v>
      </c>
      <c r="E498" s="44">
        <f>VLOOKUP(B498,'Costo de Materiales'!B$4:D$350,3,FALSE)</f>
        <v>0.84211251580157165</v>
      </c>
      <c r="F498" s="206">
        <f t="shared" si="46"/>
        <v>8.4211251580157173E-2</v>
      </c>
      <c r="G498" s="302"/>
      <c r="H498" s="83"/>
      <c r="I498" s="53"/>
      <c r="J498" s="53"/>
      <c r="K498" s="58"/>
    </row>
    <row r="499" spans="1:11" s="3" customFormat="1" ht="12" customHeight="1" x14ac:dyDescent="0.2">
      <c r="A499" s="205"/>
      <c r="B499" s="12" t="s">
        <v>10</v>
      </c>
      <c r="C499" s="11" t="s">
        <v>33</v>
      </c>
      <c r="D499" s="11">
        <v>0.03</v>
      </c>
      <c r="E499" s="44">
        <f>VLOOKUP(B499,'Costo de Materiales'!B$4:D$350,3,FALSE)</f>
        <v>0.35088021491732146</v>
      </c>
      <c r="F499" s="206">
        <f t="shared" si="46"/>
        <v>1.0526406447519643E-2</v>
      </c>
      <c r="G499" s="302"/>
      <c r="H499" s="83"/>
      <c r="I499" s="53"/>
      <c r="J499" s="53"/>
      <c r="K499" s="58"/>
    </row>
    <row r="500" spans="1:11" s="3" customFormat="1" ht="12" customHeight="1" x14ac:dyDescent="0.2">
      <c r="A500" s="207"/>
      <c r="B500" s="26" t="s">
        <v>109</v>
      </c>
      <c r="C500" s="23" t="s">
        <v>11</v>
      </c>
      <c r="D500" s="80">
        <f>VLOOKUP(B500,'Costo de Materiales'!B$4:D$350,3,FALSE)</f>
        <v>0.28999999999999998</v>
      </c>
      <c r="E500" s="45">
        <f>SUM(F498:F499)</f>
        <v>9.4737658027676822E-2</v>
      </c>
      <c r="F500" s="208">
        <f t="shared" si="46"/>
        <v>2.7473920828026275E-2</v>
      </c>
      <c r="G500" s="302"/>
      <c r="H500" s="83"/>
      <c r="I500" s="53"/>
      <c r="J500" s="53"/>
      <c r="K500" s="58"/>
    </row>
    <row r="501" spans="1:11" ht="12" customHeight="1" x14ac:dyDescent="0.2">
      <c r="A501" s="209">
        <v>64</v>
      </c>
      <c r="B501" s="88" t="s">
        <v>371</v>
      </c>
      <c r="C501" s="91" t="s">
        <v>38</v>
      </c>
      <c r="D501" s="91"/>
      <c r="E501" s="92"/>
      <c r="F501" s="210">
        <f>SUM(F502:F511)</f>
        <v>0.26031623036106255</v>
      </c>
      <c r="G501" s="303"/>
      <c r="H501" s="83"/>
      <c r="I501" s="53"/>
      <c r="J501" s="53"/>
    </row>
    <row r="502" spans="1:11" s="3" customFormat="1" ht="12" customHeight="1" x14ac:dyDescent="0.2">
      <c r="A502" s="205"/>
      <c r="B502" s="12" t="s">
        <v>12</v>
      </c>
      <c r="C502" s="11" t="s">
        <v>18</v>
      </c>
      <c r="D502" s="11">
        <v>0.02</v>
      </c>
      <c r="E502" s="44">
        <f>VLOOKUP(B502,'Costo de Materiales'!B$4:D$350,3,FALSE)</f>
        <v>8.0335620115388556E-2</v>
      </c>
      <c r="F502" s="206">
        <f>D502*E502</f>
        <v>1.6067124023077712E-3</v>
      </c>
      <c r="G502" s="302"/>
      <c r="H502" s="83"/>
      <c r="I502" s="53"/>
      <c r="J502" s="53"/>
      <c r="K502" s="58"/>
    </row>
    <row r="503" spans="1:11" s="3" customFormat="1" ht="12" customHeight="1" x14ac:dyDescent="0.2">
      <c r="A503" s="205"/>
      <c r="B503" s="17" t="s">
        <v>284</v>
      </c>
      <c r="C503" s="11" t="s">
        <v>17</v>
      </c>
      <c r="D503" s="11">
        <v>2.5</v>
      </c>
      <c r="E503" s="44">
        <f>VLOOKUP(B503,'Costo de Materiales'!B$4:D$350,3,FALSE)</f>
        <v>4.0670206729053172E-2</v>
      </c>
      <c r="F503" s="206">
        <f t="shared" ref="F503:F511" si="47">D503*E503</f>
        <v>0.10167551682263293</v>
      </c>
      <c r="G503" s="302"/>
      <c r="H503" s="83"/>
      <c r="I503" s="53"/>
      <c r="J503" s="53"/>
      <c r="K503" s="58"/>
    </row>
    <row r="504" spans="1:11" s="3" customFormat="1" ht="12" customHeight="1" x14ac:dyDescent="0.2">
      <c r="A504" s="205"/>
      <c r="B504" s="12" t="s">
        <v>285</v>
      </c>
      <c r="C504" s="11" t="s">
        <v>17</v>
      </c>
      <c r="D504" s="11">
        <v>0.4</v>
      </c>
      <c r="E504" s="44">
        <f>VLOOKUP(B504,'Costo de Materiales'!B$4:D$350,3,FALSE)</f>
        <v>3.1770608550695655E-2</v>
      </c>
      <c r="F504" s="206">
        <f t="shared" si="47"/>
        <v>1.2708243420278263E-2</v>
      </c>
      <c r="G504" s="302"/>
      <c r="H504" s="83"/>
      <c r="I504" s="53"/>
      <c r="J504" s="53"/>
      <c r="K504" s="58"/>
    </row>
    <row r="505" spans="1:11" s="3" customFormat="1" ht="12" customHeight="1" x14ac:dyDescent="0.2">
      <c r="A505" s="205"/>
      <c r="B505" s="12" t="s">
        <v>13</v>
      </c>
      <c r="C505" s="11" t="s">
        <v>18</v>
      </c>
      <c r="D505" s="11">
        <v>0.15</v>
      </c>
      <c r="E505" s="44">
        <f>VLOOKUP(B505,'Costo de Materiales'!B$4:D$350,3,FALSE)</f>
        <v>4.202158394065348E-2</v>
      </c>
      <c r="F505" s="206">
        <f t="shared" si="47"/>
        <v>6.3032375910980218E-3</v>
      </c>
      <c r="G505" s="302"/>
      <c r="H505" s="83"/>
      <c r="I505" s="53"/>
      <c r="J505" s="53"/>
      <c r="K505" s="58"/>
    </row>
    <row r="506" spans="1:11" s="3" customFormat="1" ht="12" customHeight="1" x14ac:dyDescent="0.2">
      <c r="A506" s="205"/>
      <c r="B506" s="12" t="s">
        <v>71</v>
      </c>
      <c r="C506" s="11" t="s">
        <v>18</v>
      </c>
      <c r="D506" s="11">
        <v>0.1</v>
      </c>
      <c r="E506" s="44">
        <f>VLOOKUP(B506,'Costo de Materiales'!B$4:D$350,3,FALSE)</f>
        <v>4.8230080450453641E-2</v>
      </c>
      <c r="F506" s="206">
        <f t="shared" si="47"/>
        <v>4.8230080450453643E-3</v>
      </c>
      <c r="G506" s="302"/>
      <c r="H506" s="83"/>
      <c r="I506" s="53"/>
      <c r="J506" s="53"/>
      <c r="K506" s="58"/>
    </row>
    <row r="507" spans="1:11" s="3" customFormat="1" ht="12" customHeight="1" x14ac:dyDescent="0.2">
      <c r="A507" s="205"/>
      <c r="B507" s="12" t="s">
        <v>74</v>
      </c>
      <c r="C507" s="11" t="s">
        <v>18</v>
      </c>
      <c r="D507" s="11">
        <v>0.1</v>
      </c>
      <c r="E507" s="44">
        <f>VLOOKUP(B507,'Costo de Materiales'!B$4:D$350,3,FALSE)</f>
        <v>4.4115212475514143E-2</v>
      </c>
      <c r="F507" s="206">
        <f t="shared" si="47"/>
        <v>4.4115212475514141E-3</v>
      </c>
      <c r="G507" s="302"/>
      <c r="H507" s="83"/>
      <c r="I507" s="53"/>
      <c r="J507" s="53"/>
      <c r="K507" s="58"/>
    </row>
    <row r="508" spans="1:11" s="3" customFormat="1" ht="12" customHeight="1" x14ac:dyDescent="0.2">
      <c r="A508" s="205"/>
      <c r="B508" s="12" t="s">
        <v>111</v>
      </c>
      <c r="C508" s="11" t="s">
        <v>11</v>
      </c>
      <c r="D508" s="11">
        <v>0.05</v>
      </c>
      <c r="E508" s="44">
        <f>SUM(F502:F507)</f>
        <v>0.13152823952891377</v>
      </c>
      <c r="F508" s="206">
        <f t="shared" si="47"/>
        <v>6.576411976445689E-3</v>
      </c>
      <c r="G508" s="302"/>
      <c r="H508" s="83"/>
      <c r="I508" s="53"/>
      <c r="J508" s="53"/>
      <c r="K508" s="58"/>
    </row>
    <row r="509" spans="1:11" s="3" customFormat="1" ht="12" customHeight="1" x14ac:dyDescent="0.2">
      <c r="A509" s="205"/>
      <c r="B509" s="12" t="s">
        <v>97</v>
      </c>
      <c r="C509" s="11" t="s">
        <v>33</v>
      </c>
      <c r="D509" s="11">
        <v>0.1</v>
      </c>
      <c r="E509" s="44">
        <f>VLOOKUP(B509,'Costo de Materiales'!B$4:D$350,3,FALSE)</f>
        <v>0.84211251580157165</v>
      </c>
      <c r="F509" s="206">
        <f t="shared" si="47"/>
        <v>8.4211251580157173E-2</v>
      </c>
      <c r="G509" s="302"/>
      <c r="H509" s="83"/>
      <c r="I509" s="53"/>
      <c r="J509" s="53"/>
      <c r="K509" s="58"/>
    </row>
    <row r="510" spans="1:11" s="3" customFormat="1" ht="12" customHeight="1" x14ac:dyDescent="0.2">
      <c r="A510" s="205"/>
      <c r="B510" s="12" t="s">
        <v>10</v>
      </c>
      <c r="C510" s="11" t="s">
        <v>33</v>
      </c>
      <c r="D510" s="11">
        <v>0.03</v>
      </c>
      <c r="E510" s="44">
        <f>VLOOKUP(B510,'Costo de Materiales'!B$4:D$350,3,FALSE)</f>
        <v>0.35088021491732146</v>
      </c>
      <c r="F510" s="206">
        <f t="shared" si="47"/>
        <v>1.0526406447519643E-2</v>
      </c>
      <c r="G510" s="302"/>
      <c r="H510" s="83"/>
      <c r="I510" s="53"/>
      <c r="J510" s="53"/>
      <c r="K510" s="58"/>
    </row>
    <row r="511" spans="1:11" s="3" customFormat="1" ht="12" customHeight="1" x14ac:dyDescent="0.2">
      <c r="A511" s="207"/>
      <c r="B511" s="26" t="s">
        <v>109</v>
      </c>
      <c r="C511" s="23" t="s">
        <v>11</v>
      </c>
      <c r="D511" s="80">
        <f>VLOOKUP(B511,'Costo de Materiales'!B$4:D$350,3,FALSE)</f>
        <v>0.28999999999999998</v>
      </c>
      <c r="E511" s="45">
        <f>SUM(F509:F510)</f>
        <v>9.4737658027676822E-2</v>
      </c>
      <c r="F511" s="208">
        <f t="shared" si="47"/>
        <v>2.7473920828026275E-2</v>
      </c>
      <c r="G511" s="307"/>
      <c r="H511" s="83"/>
      <c r="I511" s="53"/>
      <c r="J511" s="53"/>
      <c r="K511" s="58"/>
    </row>
    <row r="512" spans="1:11" s="1" customFormat="1" ht="12" customHeight="1" x14ac:dyDescent="0.2">
      <c r="A512" s="209">
        <v>65</v>
      </c>
      <c r="B512" s="88" t="s">
        <v>370</v>
      </c>
      <c r="C512" s="91" t="s">
        <v>38</v>
      </c>
      <c r="D512" s="91"/>
      <c r="E512" s="94"/>
      <c r="F512" s="210">
        <f>SUM(F513:F523)</f>
        <v>0.30885600247393241</v>
      </c>
      <c r="G512" s="302"/>
      <c r="H512" s="83"/>
      <c r="I512" s="53"/>
      <c r="J512" s="53"/>
      <c r="K512" s="62"/>
    </row>
    <row r="513" spans="1:11" s="3" customFormat="1" ht="12" customHeight="1" x14ac:dyDescent="0.2">
      <c r="A513" s="205"/>
      <c r="B513" s="12" t="s">
        <v>12</v>
      </c>
      <c r="C513" s="11" t="s">
        <v>18</v>
      </c>
      <c r="D513" s="11">
        <v>0.02</v>
      </c>
      <c r="E513" s="44">
        <f>VLOOKUP(B513,'Costo de Materiales'!B$4:D$350,3,FALSE)</f>
        <v>8.0335620115388556E-2</v>
      </c>
      <c r="F513" s="206">
        <f t="shared" ref="F513:F523" si="48">D513*E513</f>
        <v>1.6067124023077712E-3</v>
      </c>
      <c r="G513" s="302"/>
      <c r="H513" s="83"/>
      <c r="I513" s="53"/>
      <c r="J513" s="53"/>
      <c r="K513" s="58"/>
    </row>
    <row r="514" spans="1:11" s="3" customFormat="1" ht="12" customHeight="1" x14ac:dyDescent="0.2">
      <c r="A514" s="205"/>
      <c r="B514" s="17" t="s">
        <v>283</v>
      </c>
      <c r="C514" s="11" t="s">
        <v>17</v>
      </c>
      <c r="D514" s="11">
        <v>1.8</v>
      </c>
      <c r="E514" s="44">
        <f>VLOOKUP(B514,'Costo de Materiales'!B$4:D$350,3,FALSE)</f>
        <v>3.1770608550695655E-2</v>
      </c>
      <c r="F514" s="206">
        <f t="shared" si="48"/>
        <v>5.7187095391252177E-2</v>
      </c>
      <c r="G514" s="302"/>
      <c r="H514" s="83"/>
      <c r="I514" s="53"/>
      <c r="J514" s="53"/>
      <c r="K514" s="58"/>
    </row>
    <row r="515" spans="1:11" s="3" customFormat="1" ht="12" customHeight="1" x14ac:dyDescent="0.2">
      <c r="A515" s="205"/>
      <c r="B515" s="17" t="s">
        <v>284</v>
      </c>
      <c r="C515" s="11" t="s">
        <v>17</v>
      </c>
      <c r="D515" s="11">
        <v>1</v>
      </c>
      <c r="E515" s="44">
        <f>VLOOKUP(B515,'Costo de Materiales'!B$4:D$350,3,FALSE)</f>
        <v>4.0670206729053172E-2</v>
      </c>
      <c r="F515" s="206">
        <f t="shared" si="48"/>
        <v>4.0670206729053172E-2</v>
      </c>
      <c r="G515" s="302"/>
      <c r="H515" s="83"/>
      <c r="I515" s="53"/>
      <c r="J515" s="53"/>
      <c r="K515" s="58"/>
    </row>
    <row r="516" spans="1:11" s="3" customFormat="1" ht="12" customHeight="1" x14ac:dyDescent="0.2">
      <c r="A516" s="205"/>
      <c r="B516" s="12" t="s">
        <v>285</v>
      </c>
      <c r="C516" s="11" t="s">
        <v>17</v>
      </c>
      <c r="D516" s="11">
        <v>0.6</v>
      </c>
      <c r="E516" s="44">
        <f>VLOOKUP(B516,'Costo de Materiales'!B$4:D$350,3,FALSE)</f>
        <v>3.1770608550695655E-2</v>
      </c>
      <c r="F516" s="206">
        <f t="shared" si="48"/>
        <v>1.9062365130417393E-2</v>
      </c>
      <c r="G516" s="302"/>
      <c r="H516" s="83"/>
      <c r="I516" s="53"/>
      <c r="J516" s="53"/>
      <c r="K516" s="58"/>
    </row>
    <row r="517" spans="1:11" s="3" customFormat="1" ht="12" customHeight="1" x14ac:dyDescent="0.2">
      <c r="A517" s="205"/>
      <c r="B517" s="12" t="s">
        <v>13</v>
      </c>
      <c r="C517" s="11" t="s">
        <v>18</v>
      </c>
      <c r="D517" s="11">
        <v>0.15</v>
      </c>
      <c r="E517" s="44">
        <f>VLOOKUP(B517,'Costo de Materiales'!B$4:D$350,3,FALSE)</f>
        <v>4.202158394065348E-2</v>
      </c>
      <c r="F517" s="206">
        <f t="shared" si="48"/>
        <v>6.3032375910980218E-3</v>
      </c>
      <c r="G517" s="302"/>
      <c r="H517" s="83"/>
      <c r="I517" s="53"/>
      <c r="J517" s="53"/>
      <c r="K517" s="58"/>
    </row>
    <row r="518" spans="1:11" s="3" customFormat="1" ht="12" customHeight="1" x14ac:dyDescent="0.2">
      <c r="A518" s="205"/>
      <c r="B518" s="12" t="s">
        <v>71</v>
      </c>
      <c r="C518" s="11" t="s">
        <v>18</v>
      </c>
      <c r="D518" s="11">
        <v>0.125</v>
      </c>
      <c r="E518" s="44">
        <f>VLOOKUP(B518,'Costo de Materiales'!B$4:D$350,3,FALSE)</f>
        <v>4.8230080450453641E-2</v>
      </c>
      <c r="F518" s="206">
        <f t="shared" si="48"/>
        <v>6.0287600563067052E-3</v>
      </c>
      <c r="G518" s="302"/>
      <c r="H518" s="83"/>
      <c r="I518" s="53"/>
      <c r="J518" s="53"/>
      <c r="K518" s="58"/>
    </row>
    <row r="519" spans="1:11" s="3" customFormat="1" ht="12" customHeight="1" x14ac:dyDescent="0.2">
      <c r="A519" s="205"/>
      <c r="B519" s="12" t="s">
        <v>74</v>
      </c>
      <c r="C519" s="11" t="s">
        <v>18</v>
      </c>
      <c r="D519" s="11">
        <v>0.125</v>
      </c>
      <c r="E519" s="44">
        <f>VLOOKUP(B519,'Costo de Materiales'!B$4:D$350,3,FALSE)</f>
        <v>4.4115212475514143E-2</v>
      </c>
      <c r="F519" s="206">
        <f t="shared" si="48"/>
        <v>5.5144015594392679E-3</v>
      </c>
      <c r="G519" s="302"/>
      <c r="H519" s="83"/>
      <c r="I519" s="53"/>
      <c r="J519" s="53"/>
      <c r="K519" s="58"/>
    </row>
    <row r="520" spans="1:11" s="3" customFormat="1" ht="12" customHeight="1" x14ac:dyDescent="0.2">
      <c r="A520" s="205"/>
      <c r="B520" s="12" t="s">
        <v>111</v>
      </c>
      <c r="C520" s="11" t="s">
        <v>11</v>
      </c>
      <c r="D520" s="11">
        <v>0.05</v>
      </c>
      <c r="E520" s="44">
        <f>SUM(F513:F519)</f>
        <v>0.13637277885987453</v>
      </c>
      <c r="F520" s="206">
        <f t="shared" si="48"/>
        <v>6.8186389429937266E-3</v>
      </c>
      <c r="G520" s="302"/>
      <c r="H520" s="83"/>
      <c r="I520" s="53"/>
      <c r="J520" s="53"/>
      <c r="K520" s="58"/>
    </row>
    <row r="521" spans="1:11" s="3" customFormat="1" ht="12" customHeight="1" x14ac:dyDescent="0.2">
      <c r="A521" s="205"/>
      <c r="B521" s="12" t="s">
        <v>97</v>
      </c>
      <c r="C521" s="11" t="s">
        <v>33</v>
      </c>
      <c r="D521" s="11">
        <v>0.14000000000000001</v>
      </c>
      <c r="E521" s="44">
        <f>VLOOKUP(B521,'Costo de Materiales'!B$4:D$350,3,FALSE)</f>
        <v>0.84211251580157165</v>
      </c>
      <c r="F521" s="206">
        <f t="shared" si="48"/>
        <v>0.11789575221222004</v>
      </c>
      <c r="G521" s="302"/>
      <c r="H521" s="83"/>
      <c r="I521" s="53"/>
      <c r="J521" s="53"/>
      <c r="K521" s="58"/>
    </row>
    <row r="522" spans="1:11" s="3" customFormat="1" ht="12" customHeight="1" x14ac:dyDescent="0.2">
      <c r="A522" s="205"/>
      <c r="B522" s="12" t="s">
        <v>10</v>
      </c>
      <c r="C522" s="11" t="s">
        <v>33</v>
      </c>
      <c r="D522" s="11">
        <v>0.03</v>
      </c>
      <c r="E522" s="44">
        <f>VLOOKUP(B522,'Costo de Materiales'!B$4:D$350,3,FALSE)</f>
        <v>0.35088021491732146</v>
      </c>
      <c r="F522" s="206">
        <f t="shared" si="48"/>
        <v>1.0526406447519643E-2</v>
      </c>
      <c r="G522" s="302"/>
      <c r="H522" s="83"/>
      <c r="I522" s="53"/>
      <c r="J522" s="53"/>
      <c r="K522" s="58"/>
    </row>
    <row r="523" spans="1:11" s="3" customFormat="1" ht="12" customHeight="1" x14ac:dyDescent="0.2">
      <c r="A523" s="207"/>
      <c r="B523" s="26" t="s">
        <v>109</v>
      </c>
      <c r="C523" s="23" t="s">
        <v>11</v>
      </c>
      <c r="D523" s="80">
        <f>VLOOKUP(B523,'Costo de Materiales'!B$4:D$350,3,FALSE)</f>
        <v>0.28999999999999998</v>
      </c>
      <c r="E523" s="45">
        <f>SUM(F521:F522)</f>
        <v>0.12842215865973969</v>
      </c>
      <c r="F523" s="206">
        <f t="shared" si="48"/>
        <v>3.7242426011324506E-2</v>
      </c>
      <c r="G523" s="302"/>
      <c r="H523" s="83"/>
      <c r="I523" s="53"/>
      <c r="J523" s="53"/>
      <c r="K523" s="58"/>
    </row>
    <row r="524" spans="1:11" s="42" customFormat="1" ht="12" customHeight="1" x14ac:dyDescent="0.2">
      <c r="A524" s="209">
        <v>66</v>
      </c>
      <c r="B524" s="88" t="s">
        <v>444</v>
      </c>
      <c r="C524" s="91" t="s">
        <v>38</v>
      </c>
      <c r="D524" s="89"/>
      <c r="E524" s="94"/>
      <c r="F524" s="210">
        <f>SUM(F525:F537)</f>
        <v>1.5152248788599456</v>
      </c>
      <c r="G524" s="303"/>
      <c r="H524" s="83"/>
      <c r="I524" s="53"/>
      <c r="J524" s="53"/>
      <c r="K524" s="69"/>
    </row>
    <row r="525" spans="1:11" s="42" customFormat="1" ht="12" customHeight="1" x14ac:dyDescent="0.2">
      <c r="A525" s="216"/>
      <c r="B525" s="10" t="s">
        <v>459</v>
      </c>
      <c r="C525" s="11" t="s">
        <v>17</v>
      </c>
      <c r="D525" s="21">
        <v>0.34</v>
      </c>
      <c r="E525" s="46">
        <f>VLOOKUP(B525,'Costo de Materiales'!B$4:D$350,3,FALSE)</f>
        <v>1.4345099622867565</v>
      </c>
      <c r="F525" s="217">
        <f>D525*E525</f>
        <v>0.48773338717749726</v>
      </c>
      <c r="G525" s="302"/>
      <c r="H525" s="83"/>
      <c r="I525" s="53"/>
      <c r="J525" s="53"/>
      <c r="K525" s="69"/>
    </row>
    <row r="526" spans="1:11" s="42" customFormat="1" ht="12" customHeight="1" x14ac:dyDescent="0.2">
      <c r="A526" s="216"/>
      <c r="B526" s="10" t="s">
        <v>447</v>
      </c>
      <c r="C526" s="21" t="s">
        <v>17</v>
      </c>
      <c r="D526" s="21">
        <v>0.5</v>
      </c>
      <c r="E526" s="46">
        <f>VLOOKUP(B526,'Costo de Materiales'!B$4:D$350,3,FALSE)</f>
        <v>7.6029362932312342E-2</v>
      </c>
      <c r="F526" s="217">
        <f>D526*E526</f>
        <v>3.8014681466156171E-2</v>
      </c>
      <c r="G526" s="302"/>
      <c r="H526" s="83"/>
      <c r="I526" s="53"/>
      <c r="J526" s="53"/>
      <c r="K526" s="69"/>
    </row>
    <row r="527" spans="1:11" s="42" customFormat="1" ht="12" customHeight="1" x14ac:dyDescent="0.2">
      <c r="A527" s="216"/>
      <c r="B527" s="10" t="s">
        <v>448</v>
      </c>
      <c r="C527" s="21" t="s">
        <v>17</v>
      </c>
      <c r="D527" s="21">
        <v>0.33</v>
      </c>
      <c r="E527" s="46">
        <f>VLOOKUP(B527,'Costo de Materiales'!B$4:D$350,3,FALSE)</f>
        <v>0.1483744836079928</v>
      </c>
      <c r="F527" s="217">
        <f t="shared" ref="F527:F535" si="49">D527*E527</f>
        <v>4.8963579590637622E-2</v>
      </c>
      <c r="G527" s="302"/>
      <c r="H527" s="83"/>
      <c r="I527" s="53"/>
      <c r="J527" s="53"/>
      <c r="K527" s="69"/>
    </row>
    <row r="528" spans="1:11" s="42" customFormat="1" ht="12" customHeight="1" x14ac:dyDescent="0.2">
      <c r="A528" s="216"/>
      <c r="B528" s="10" t="s">
        <v>453</v>
      </c>
      <c r="C528" s="21" t="s">
        <v>17</v>
      </c>
      <c r="D528" s="21">
        <v>0.5</v>
      </c>
      <c r="E528" s="46">
        <f>VLOOKUP(B528,'Costo de Materiales'!B$4:D$350,3,FALSE)</f>
        <v>5.1257199306629884E-2</v>
      </c>
      <c r="F528" s="217">
        <f t="shared" si="49"/>
        <v>2.5628599653314942E-2</v>
      </c>
      <c r="G528" s="302"/>
      <c r="H528" s="83"/>
      <c r="I528" s="53"/>
      <c r="J528" s="53"/>
      <c r="K528" s="69"/>
    </row>
    <row r="529" spans="1:11" s="42" customFormat="1" ht="12" customHeight="1" x14ac:dyDescent="0.2">
      <c r="A529" s="216"/>
      <c r="B529" s="10" t="s">
        <v>450</v>
      </c>
      <c r="C529" s="21" t="s">
        <v>451</v>
      </c>
      <c r="D529" s="21">
        <v>5.0000000000000001E-3</v>
      </c>
      <c r="E529" s="46">
        <f>VLOOKUP(B529,'Costo de Materiales'!B$4:D$350,3,FALSE)</f>
        <v>0.94450574215471716</v>
      </c>
      <c r="F529" s="217">
        <f t="shared" si="49"/>
        <v>4.722528710773586E-3</v>
      </c>
      <c r="G529" s="302"/>
      <c r="H529" s="83"/>
      <c r="I529" s="53"/>
      <c r="J529" s="53"/>
      <c r="K529" s="69"/>
    </row>
    <row r="530" spans="1:11" s="42" customFormat="1" ht="12" customHeight="1" x14ac:dyDescent="0.2">
      <c r="A530" s="216"/>
      <c r="B530" s="12" t="s">
        <v>565</v>
      </c>
      <c r="C530" s="21" t="s">
        <v>18</v>
      </c>
      <c r="D530" s="21">
        <v>3.15</v>
      </c>
      <c r="E530" s="46">
        <f>VLOOKUP(B530,'Costo de Materiales'!B$4:D$350,3,FALSE)</f>
        <v>5.1257199306629884E-2</v>
      </c>
      <c r="F530" s="217">
        <f t="shared" si="49"/>
        <v>0.16146017781588412</v>
      </c>
      <c r="G530" s="302"/>
      <c r="H530" s="83"/>
      <c r="I530" s="53"/>
      <c r="J530" s="53"/>
      <c r="K530" s="69"/>
    </row>
    <row r="531" spans="1:11" s="42" customFormat="1" ht="12" customHeight="1" x14ac:dyDescent="0.2">
      <c r="A531" s="216"/>
      <c r="B531" s="10" t="s">
        <v>221</v>
      </c>
      <c r="C531" s="11" t="s">
        <v>38</v>
      </c>
      <c r="D531" s="21">
        <v>2.8</v>
      </c>
      <c r="E531" s="46">
        <f>F325</f>
        <v>0.17504666396685931</v>
      </c>
      <c r="F531" s="217">
        <f t="shared" si="49"/>
        <v>0.49013065910720605</v>
      </c>
      <c r="G531" s="302"/>
      <c r="H531" s="83"/>
      <c r="I531" s="53"/>
      <c r="J531" s="53"/>
      <c r="K531" s="69"/>
    </row>
    <row r="532" spans="1:11" s="42" customFormat="1" ht="12" customHeight="1" x14ac:dyDescent="0.2">
      <c r="A532" s="216"/>
      <c r="B532" s="10" t="s">
        <v>449</v>
      </c>
      <c r="C532" s="21" t="s">
        <v>18</v>
      </c>
      <c r="D532" s="21">
        <v>7.0000000000000001E-3</v>
      </c>
      <c r="E532" s="46">
        <f>VLOOKUP(B532,'Costo de Materiales'!B$4:D$350,3,FALSE)</f>
        <v>0.72010189561441196</v>
      </c>
      <c r="F532" s="217">
        <f t="shared" si="49"/>
        <v>5.0407132693008842E-3</v>
      </c>
      <c r="G532" s="302"/>
      <c r="H532" s="83"/>
      <c r="I532" s="53"/>
      <c r="J532" s="53"/>
      <c r="K532" s="69"/>
    </row>
    <row r="533" spans="1:11" s="42" customFormat="1" ht="12" customHeight="1" x14ac:dyDescent="0.2">
      <c r="A533" s="216"/>
      <c r="B533" s="16" t="s">
        <v>211</v>
      </c>
      <c r="C533" s="21" t="s">
        <v>11</v>
      </c>
      <c r="D533" s="21">
        <v>0.02</v>
      </c>
      <c r="E533" s="46">
        <f>SUM(F525:F532)</f>
        <v>1.2616943267907708</v>
      </c>
      <c r="F533" s="217">
        <f t="shared" si="49"/>
        <v>2.5233886535815417E-2</v>
      </c>
      <c r="G533" s="302"/>
      <c r="H533" s="83"/>
      <c r="I533" s="53"/>
      <c r="J533" s="53"/>
      <c r="K533" s="69"/>
    </row>
    <row r="534" spans="1:11" s="42" customFormat="1" ht="12" customHeight="1" x14ac:dyDescent="0.2">
      <c r="A534" s="216"/>
      <c r="B534" s="10" t="s">
        <v>111</v>
      </c>
      <c r="C534" s="21" t="s">
        <v>11</v>
      </c>
      <c r="D534" s="21">
        <v>0.05</v>
      </c>
      <c r="E534" s="46">
        <f>SUM(F525:F532)</f>
        <v>1.2616943267907708</v>
      </c>
      <c r="F534" s="217">
        <f t="shared" si="49"/>
        <v>6.3084716339538535E-2</v>
      </c>
      <c r="G534" s="302"/>
      <c r="H534" s="83"/>
      <c r="I534" s="53"/>
      <c r="J534" s="53"/>
      <c r="K534" s="69"/>
    </row>
    <row r="535" spans="1:11" s="42" customFormat="1" ht="12" customHeight="1" x14ac:dyDescent="0.2">
      <c r="A535" s="216"/>
      <c r="B535" s="10" t="s">
        <v>96</v>
      </c>
      <c r="C535" s="21" t="s">
        <v>33</v>
      </c>
      <c r="D535" s="21">
        <v>0.1</v>
      </c>
      <c r="E535" s="46">
        <f>VLOOKUP(B535,'Costo de Materiales'!B$4:D$350,3,FALSE)</f>
        <v>0.92983256953090243</v>
      </c>
      <c r="F535" s="217">
        <f t="shared" si="49"/>
        <v>9.2983256953090246E-2</v>
      </c>
      <c r="G535" s="302"/>
      <c r="H535" s="83"/>
      <c r="I535" s="53"/>
      <c r="J535" s="53"/>
      <c r="K535" s="69"/>
    </row>
    <row r="536" spans="1:11" s="42" customFormat="1" ht="12" customHeight="1" x14ac:dyDescent="0.2">
      <c r="A536" s="216"/>
      <c r="B536" s="10" t="s">
        <v>10</v>
      </c>
      <c r="C536" s="21" t="s">
        <v>33</v>
      </c>
      <c r="D536" s="21">
        <v>0.1</v>
      </c>
      <c r="E536" s="46">
        <f>VLOOKUP(B536,'Costo de Materiales'!B$4:D$350,3,FALSE)</f>
        <v>0.35088021491732146</v>
      </c>
      <c r="F536" s="217">
        <f>D536*E536</f>
        <v>3.5088021491732145E-2</v>
      </c>
      <c r="G536" s="302"/>
      <c r="H536" s="83"/>
      <c r="I536" s="53"/>
      <c r="J536" s="53"/>
      <c r="K536" s="69"/>
    </row>
    <row r="537" spans="1:11" s="42" customFormat="1" ht="12" customHeight="1" x14ac:dyDescent="0.2">
      <c r="A537" s="218"/>
      <c r="B537" s="22" t="s">
        <v>109</v>
      </c>
      <c r="C537" s="32" t="s">
        <v>11</v>
      </c>
      <c r="D537" s="80">
        <f>VLOOKUP(B537,'Costo de Materiales'!B$4:D$350,3,FALSE)</f>
        <v>0.28999999999999998</v>
      </c>
      <c r="E537" s="47">
        <f>SUM(F535:F536)</f>
        <v>0.12807127844482238</v>
      </c>
      <c r="F537" s="219">
        <f>D537*E537</f>
        <v>3.7140670748998489E-2</v>
      </c>
      <c r="G537" s="307"/>
      <c r="H537" s="83"/>
      <c r="I537" s="53"/>
      <c r="J537" s="53"/>
      <c r="K537" s="69"/>
    </row>
    <row r="538" spans="1:11" s="42" customFormat="1" ht="12" customHeight="1" x14ac:dyDescent="0.2">
      <c r="A538" s="209">
        <v>67</v>
      </c>
      <c r="B538" s="88" t="s">
        <v>445</v>
      </c>
      <c r="C538" s="91" t="s">
        <v>38</v>
      </c>
      <c r="D538" s="89"/>
      <c r="E538" s="94"/>
      <c r="F538" s="210">
        <f>SUM(F539:F551)</f>
        <v>1.3144218501660301</v>
      </c>
      <c r="G538" s="302"/>
      <c r="H538" s="83"/>
      <c r="I538" s="53"/>
      <c r="J538" s="53"/>
      <c r="K538" s="69"/>
    </row>
    <row r="539" spans="1:11" s="41" customFormat="1" ht="12" customHeight="1" x14ac:dyDescent="0.2">
      <c r="A539" s="211"/>
      <c r="B539" s="10" t="s">
        <v>455</v>
      </c>
      <c r="C539" s="11" t="s">
        <v>17</v>
      </c>
      <c r="D539" s="21">
        <v>0.34</v>
      </c>
      <c r="E539" s="46">
        <f>VLOOKUP(B539,'Costo de Materiales'!B$4:D$350,3,FALSE)</f>
        <v>1.3367100769288922</v>
      </c>
      <c r="F539" s="217">
        <f>D539*E539</f>
        <v>0.45448142615582338</v>
      </c>
      <c r="G539" s="302"/>
      <c r="H539" s="83"/>
      <c r="I539" s="53"/>
      <c r="J539" s="53"/>
      <c r="K539" s="66"/>
    </row>
    <row r="540" spans="1:11" s="41" customFormat="1" ht="12" customHeight="1" x14ac:dyDescent="0.2">
      <c r="A540" s="211"/>
      <c r="B540" s="10" t="s">
        <v>447</v>
      </c>
      <c r="C540" s="21" t="s">
        <v>17</v>
      </c>
      <c r="D540" s="21">
        <v>0.5</v>
      </c>
      <c r="E540" s="46">
        <f>VLOOKUP(B540,'Costo de Materiales'!B$4:D$350,3,FALSE)</f>
        <v>7.6029362932312342E-2</v>
      </c>
      <c r="F540" s="217">
        <f t="shared" ref="F540:F551" si="50">D540*E540</f>
        <v>3.8014681466156171E-2</v>
      </c>
      <c r="G540" s="302"/>
      <c r="H540" s="83"/>
      <c r="I540" s="53"/>
      <c r="J540" s="53"/>
      <c r="K540" s="66"/>
    </row>
    <row r="541" spans="1:11" s="41" customFormat="1" ht="12" customHeight="1" x14ac:dyDescent="0.2">
      <c r="A541" s="211"/>
      <c r="B541" s="10" t="s">
        <v>448</v>
      </c>
      <c r="C541" s="21" t="s">
        <v>17</v>
      </c>
      <c r="D541" s="21">
        <v>0.33</v>
      </c>
      <c r="E541" s="46">
        <f>VLOOKUP(B541,'Costo de Materiales'!B$4:D$350,3,FALSE)</f>
        <v>0.1483744836079928</v>
      </c>
      <c r="F541" s="217">
        <f t="shared" si="50"/>
        <v>4.8963579590637622E-2</v>
      </c>
      <c r="G541" s="302"/>
      <c r="H541" s="83"/>
      <c r="I541" s="53"/>
      <c r="J541" s="53"/>
      <c r="K541" s="66"/>
    </row>
    <row r="542" spans="1:11" s="41" customFormat="1" ht="12" customHeight="1" x14ac:dyDescent="0.2">
      <c r="A542" s="211"/>
      <c r="B542" s="10" t="s">
        <v>453</v>
      </c>
      <c r="C542" s="21" t="s">
        <v>17</v>
      </c>
      <c r="D542" s="21">
        <v>0.5</v>
      </c>
      <c r="E542" s="46">
        <f>VLOOKUP(B542,'Costo de Materiales'!B$4:D$350,3,FALSE)</f>
        <v>5.1257199306629884E-2</v>
      </c>
      <c r="F542" s="217">
        <f t="shared" si="50"/>
        <v>2.5628599653314942E-2</v>
      </c>
      <c r="G542" s="302"/>
      <c r="H542" s="83"/>
      <c r="I542" s="53"/>
      <c r="J542" s="53"/>
      <c r="K542" s="66"/>
    </row>
    <row r="543" spans="1:11" s="41" customFormat="1" ht="12" customHeight="1" x14ac:dyDescent="0.2">
      <c r="A543" s="211"/>
      <c r="B543" s="10" t="s">
        <v>450</v>
      </c>
      <c r="C543" s="21" t="s">
        <v>451</v>
      </c>
      <c r="D543" s="21">
        <v>5.0000000000000001E-3</v>
      </c>
      <c r="E543" s="46">
        <f>VLOOKUP(B543,'Costo de Materiales'!B$4:D$350,3,FALSE)</f>
        <v>0.94450574215471716</v>
      </c>
      <c r="F543" s="217">
        <f t="shared" si="50"/>
        <v>4.722528710773586E-3</v>
      </c>
      <c r="G543" s="302"/>
      <c r="H543" s="83"/>
      <c r="I543" s="53"/>
      <c r="J543" s="53"/>
      <c r="K543" s="66"/>
    </row>
    <row r="544" spans="1:11" s="41" customFormat="1" ht="12" customHeight="1" x14ac:dyDescent="0.2">
      <c r="A544" s="211"/>
      <c r="B544" s="12" t="s">
        <v>565</v>
      </c>
      <c r="C544" s="21" t="s">
        <v>18</v>
      </c>
      <c r="D544" s="21">
        <v>2.12</v>
      </c>
      <c r="E544" s="46">
        <f>VLOOKUP(B544,'Costo de Materiales'!B$4:D$350,3,FALSE)</f>
        <v>5.1257199306629884E-2</v>
      </c>
      <c r="F544" s="217">
        <f t="shared" si="50"/>
        <v>0.10866526253005536</v>
      </c>
      <c r="G544" s="302"/>
      <c r="H544" s="83"/>
      <c r="I544" s="53"/>
      <c r="J544" s="53"/>
      <c r="K544" s="66"/>
    </row>
    <row r="545" spans="1:11" s="41" customFormat="1" ht="12" customHeight="1" x14ac:dyDescent="0.2">
      <c r="A545" s="211"/>
      <c r="B545" s="10" t="s">
        <v>221</v>
      </c>
      <c r="C545" s="11" t="s">
        <v>38</v>
      </c>
      <c r="D545" s="21">
        <v>2.4</v>
      </c>
      <c r="E545" s="46">
        <f>F325</f>
        <v>0.17504666396685931</v>
      </c>
      <c r="F545" s="217">
        <f t="shared" si="50"/>
        <v>0.4201119935204623</v>
      </c>
      <c r="G545" s="302"/>
      <c r="H545" s="83"/>
      <c r="I545" s="53"/>
      <c r="J545" s="53"/>
      <c r="K545" s="66"/>
    </row>
    <row r="546" spans="1:11" s="41" customFormat="1" ht="12" customHeight="1" x14ac:dyDescent="0.2">
      <c r="A546" s="211"/>
      <c r="B546" s="10" t="s">
        <v>449</v>
      </c>
      <c r="C546" s="21" t="s">
        <v>18</v>
      </c>
      <c r="D546" s="21">
        <v>6.0000000000000001E-3</v>
      </c>
      <c r="E546" s="46">
        <f>VLOOKUP(B546,'Costo de Materiales'!B$4:D$350,3,FALSE)</f>
        <v>0.72010189561441196</v>
      </c>
      <c r="F546" s="217">
        <f t="shared" si="50"/>
        <v>4.3206113736864718E-3</v>
      </c>
      <c r="G546" s="302"/>
      <c r="H546" s="83"/>
      <c r="I546" s="53"/>
      <c r="J546" s="53"/>
      <c r="K546" s="66"/>
    </row>
    <row r="547" spans="1:11" s="41" customFormat="1" ht="12" customHeight="1" x14ac:dyDescent="0.2">
      <c r="A547" s="211"/>
      <c r="B547" s="16" t="s">
        <v>211</v>
      </c>
      <c r="C547" s="21" t="s">
        <v>11</v>
      </c>
      <c r="D547" s="21">
        <v>0.02</v>
      </c>
      <c r="E547" s="46">
        <f>SUM(F539:F546)</f>
        <v>1.1049086830009098</v>
      </c>
      <c r="F547" s="217">
        <f t="shared" si="50"/>
        <v>2.2098173660018199E-2</v>
      </c>
      <c r="G547" s="302"/>
      <c r="H547" s="83"/>
      <c r="I547" s="53"/>
      <c r="J547" s="53"/>
      <c r="K547" s="66"/>
    </row>
    <row r="548" spans="1:11" s="42" customFormat="1" ht="12" customHeight="1" x14ac:dyDescent="0.2">
      <c r="A548" s="216"/>
      <c r="B548" s="10" t="s">
        <v>111</v>
      </c>
      <c r="C548" s="21" t="s">
        <v>11</v>
      </c>
      <c r="D548" s="21">
        <v>0.05</v>
      </c>
      <c r="E548" s="46">
        <f>SUM(F539:F546)</f>
        <v>1.1049086830009098</v>
      </c>
      <c r="F548" s="217">
        <f t="shared" si="50"/>
        <v>5.5245434150045493E-2</v>
      </c>
      <c r="G548" s="302"/>
      <c r="H548" s="83"/>
      <c r="I548" s="53"/>
      <c r="J548" s="53"/>
      <c r="K548" s="69"/>
    </row>
    <row r="549" spans="1:11" s="42" customFormat="1" ht="12" customHeight="1" x14ac:dyDescent="0.2">
      <c r="A549" s="216"/>
      <c r="B549" s="10" t="s">
        <v>96</v>
      </c>
      <c r="C549" s="21" t="s">
        <v>33</v>
      </c>
      <c r="D549" s="21">
        <v>0.08</v>
      </c>
      <c r="E549" s="46">
        <f>VLOOKUP(B549,'Costo de Materiales'!B$4:D$350,3,FALSE)</f>
        <v>0.92983256953090243</v>
      </c>
      <c r="F549" s="217">
        <f t="shared" si="50"/>
        <v>7.4386605562472202E-2</v>
      </c>
      <c r="G549" s="302"/>
      <c r="H549" s="83"/>
      <c r="I549" s="53"/>
      <c r="J549" s="53"/>
      <c r="K549" s="69"/>
    </row>
    <row r="550" spans="1:11" s="42" customFormat="1" ht="12" customHeight="1" x14ac:dyDescent="0.2">
      <c r="A550" s="216"/>
      <c r="B550" s="10" t="s">
        <v>10</v>
      </c>
      <c r="C550" s="21" t="s">
        <v>33</v>
      </c>
      <c r="D550" s="21">
        <v>0.08</v>
      </c>
      <c r="E550" s="46">
        <f>VLOOKUP(B550,'Costo de Materiales'!B$4:D$350,3,FALSE)</f>
        <v>0.35088021491732146</v>
      </c>
      <c r="F550" s="217">
        <f t="shared" si="50"/>
        <v>2.8070417193385717E-2</v>
      </c>
      <c r="G550" s="302"/>
      <c r="H550" s="83"/>
      <c r="I550" s="53"/>
      <c r="J550" s="53"/>
      <c r="K550" s="69"/>
    </row>
    <row r="551" spans="1:11" s="42" customFormat="1" ht="12" customHeight="1" x14ac:dyDescent="0.2">
      <c r="A551" s="216"/>
      <c r="B551" s="10" t="s">
        <v>109</v>
      </c>
      <c r="C551" s="21" t="s">
        <v>11</v>
      </c>
      <c r="D551" s="80">
        <f>VLOOKUP(B551,'Costo de Materiales'!B$4:D$350,3,FALSE)</f>
        <v>0.28999999999999998</v>
      </c>
      <c r="E551" s="46">
        <f>SUM(F549:F550)</f>
        <v>0.10245702275585791</v>
      </c>
      <c r="F551" s="217">
        <f t="shared" si="50"/>
        <v>2.9712536599198792E-2</v>
      </c>
      <c r="G551" s="302"/>
      <c r="H551" s="83"/>
      <c r="I551" s="53"/>
      <c r="J551" s="53"/>
      <c r="K551" s="69"/>
    </row>
    <row r="552" spans="1:11" s="42" customFormat="1" ht="12" customHeight="1" x14ac:dyDescent="0.2">
      <c r="A552" s="209">
        <v>68</v>
      </c>
      <c r="B552" s="88" t="s">
        <v>446</v>
      </c>
      <c r="C552" s="91" t="s">
        <v>38</v>
      </c>
      <c r="D552" s="89"/>
      <c r="E552" s="94"/>
      <c r="F552" s="210">
        <f>SUM(F553:F565)</f>
        <v>1.0928830707159858</v>
      </c>
      <c r="G552" s="303"/>
      <c r="H552" s="83"/>
      <c r="I552" s="53"/>
      <c r="J552" s="53"/>
      <c r="K552" s="69"/>
    </row>
    <row r="553" spans="1:11" s="42" customFormat="1" ht="12" customHeight="1" x14ac:dyDescent="0.2">
      <c r="A553" s="216"/>
      <c r="B553" s="10" t="s">
        <v>456</v>
      </c>
      <c r="C553" s="11" t="s">
        <v>17</v>
      </c>
      <c r="D553" s="21">
        <v>0.34</v>
      </c>
      <c r="E553" s="46">
        <f>VLOOKUP(B553,'Costo de Materiales'!B$4:D$350,3,FALSE)</f>
        <v>1.0047933427177842</v>
      </c>
      <c r="F553" s="217">
        <f>D553*E553</f>
        <v>0.34162973652404666</v>
      </c>
      <c r="G553" s="302"/>
      <c r="H553" s="83"/>
      <c r="I553" s="53"/>
      <c r="J553" s="53"/>
      <c r="K553" s="69"/>
    </row>
    <row r="554" spans="1:11" s="42" customFormat="1" ht="12" customHeight="1" x14ac:dyDescent="0.2">
      <c r="A554" s="216"/>
      <c r="B554" s="10" t="s">
        <v>447</v>
      </c>
      <c r="C554" s="21" t="s">
        <v>17</v>
      </c>
      <c r="D554" s="21">
        <v>0.5</v>
      </c>
      <c r="E554" s="46">
        <f>VLOOKUP(B554,'Costo de Materiales'!B$4:D$350,3,FALSE)</f>
        <v>7.6029362932312342E-2</v>
      </c>
      <c r="F554" s="217">
        <f>D554*E554</f>
        <v>3.8014681466156171E-2</v>
      </c>
      <c r="G554" s="302"/>
      <c r="H554" s="83"/>
      <c r="I554" s="53"/>
      <c r="J554" s="53"/>
      <c r="K554" s="69"/>
    </row>
    <row r="555" spans="1:11" s="42" customFormat="1" ht="12" customHeight="1" x14ac:dyDescent="0.2">
      <c r="A555" s="216"/>
      <c r="B555" s="10" t="s">
        <v>448</v>
      </c>
      <c r="C555" s="21" t="s">
        <v>17</v>
      </c>
      <c r="D555" s="21">
        <v>0.33</v>
      </c>
      <c r="E555" s="46">
        <f>VLOOKUP(B555,'Costo de Materiales'!B$4:D$350,3,FALSE)</f>
        <v>0.1483744836079928</v>
      </c>
      <c r="F555" s="217">
        <f t="shared" ref="F555:F565" si="51">D555*E555</f>
        <v>4.8963579590637622E-2</v>
      </c>
      <c r="G555" s="302"/>
      <c r="H555" s="83"/>
      <c r="I555" s="53"/>
      <c r="J555" s="53"/>
      <c r="K555" s="69"/>
    </row>
    <row r="556" spans="1:11" s="42" customFormat="1" ht="12" customHeight="1" x14ac:dyDescent="0.2">
      <c r="A556" s="216"/>
      <c r="B556" s="10" t="s">
        <v>452</v>
      </c>
      <c r="C556" s="21" t="s">
        <v>17</v>
      </c>
      <c r="D556" s="21">
        <v>0.5</v>
      </c>
      <c r="E556" s="46">
        <f>VLOOKUP(B556,'Costo de Materiales'!B$4:D$350,3,FALSE)</f>
        <v>4.240368306275745E-2</v>
      </c>
      <c r="F556" s="217">
        <f t="shared" si="51"/>
        <v>2.1201841531378725E-2</v>
      </c>
      <c r="G556" s="302"/>
      <c r="H556" s="83"/>
      <c r="I556" s="53"/>
      <c r="J556" s="53"/>
      <c r="K556" s="69"/>
    </row>
    <row r="557" spans="1:11" s="41" customFormat="1" ht="12" customHeight="1" x14ac:dyDescent="0.2">
      <c r="A557" s="211"/>
      <c r="B557" s="10" t="s">
        <v>450</v>
      </c>
      <c r="C557" s="21" t="s">
        <v>451</v>
      </c>
      <c r="D557" s="21">
        <v>5.0000000000000001E-3</v>
      </c>
      <c r="E557" s="46">
        <f>VLOOKUP(B557,'Costo de Materiales'!B$4:D$350,3,FALSE)</f>
        <v>0.94450574215471716</v>
      </c>
      <c r="F557" s="217">
        <f t="shared" si="51"/>
        <v>4.722528710773586E-3</v>
      </c>
      <c r="G557" s="302"/>
      <c r="H557" s="83"/>
      <c r="I557" s="53"/>
      <c r="J557" s="53"/>
      <c r="K557" s="66"/>
    </row>
    <row r="558" spans="1:11" s="41" customFormat="1" ht="12" customHeight="1" x14ac:dyDescent="0.2">
      <c r="A558" s="211"/>
      <c r="B558" s="12" t="s">
        <v>565</v>
      </c>
      <c r="C558" s="21" t="s">
        <v>18</v>
      </c>
      <c r="D558" s="21">
        <v>2.0499999999999998</v>
      </c>
      <c r="E558" s="46">
        <f>VLOOKUP(B558,'Costo de Materiales'!B$4:D$350,3,FALSE)</f>
        <v>5.1257199306629884E-2</v>
      </c>
      <c r="F558" s="217">
        <f t="shared" si="51"/>
        <v>0.10507725857859125</v>
      </c>
      <c r="G558" s="302"/>
      <c r="H558" s="83"/>
      <c r="I558" s="53"/>
      <c r="J558" s="53"/>
      <c r="K558" s="66"/>
    </row>
    <row r="559" spans="1:11" s="41" customFormat="1" ht="12" customHeight="1" x14ac:dyDescent="0.2">
      <c r="A559" s="211"/>
      <c r="B559" s="10" t="s">
        <v>221</v>
      </c>
      <c r="C559" s="11" t="s">
        <v>38</v>
      </c>
      <c r="D559" s="21">
        <v>2</v>
      </c>
      <c r="E559" s="46">
        <f>F325</f>
        <v>0.17504666396685931</v>
      </c>
      <c r="F559" s="217">
        <f t="shared" si="51"/>
        <v>0.35009332793371861</v>
      </c>
      <c r="G559" s="302"/>
      <c r="H559" s="83"/>
      <c r="I559" s="53"/>
      <c r="J559" s="53"/>
      <c r="K559" s="66"/>
    </row>
    <row r="560" spans="1:11" s="41" customFormat="1" ht="12" customHeight="1" x14ac:dyDescent="0.2">
      <c r="A560" s="211"/>
      <c r="B560" s="10" t="s">
        <v>449</v>
      </c>
      <c r="C560" s="21" t="s">
        <v>18</v>
      </c>
      <c r="D560" s="21">
        <v>5.0000000000000001E-3</v>
      </c>
      <c r="E560" s="46">
        <f>VLOOKUP(B560,'Costo de Materiales'!B$4:D$350,3,FALSE)</f>
        <v>0.72010189561441196</v>
      </c>
      <c r="F560" s="217">
        <f t="shared" si="51"/>
        <v>3.6005094780720598E-3</v>
      </c>
      <c r="G560" s="302"/>
      <c r="H560" s="83"/>
      <c r="I560" s="53"/>
      <c r="J560" s="53"/>
      <c r="K560" s="66"/>
    </row>
    <row r="561" spans="1:11" s="41" customFormat="1" ht="12" customHeight="1" x14ac:dyDescent="0.2">
      <c r="A561" s="211"/>
      <c r="B561" s="16" t="s">
        <v>211</v>
      </c>
      <c r="C561" s="21" t="s">
        <v>11</v>
      </c>
      <c r="D561" s="21">
        <v>0.02</v>
      </c>
      <c r="E561" s="46">
        <f>SUM(F553:F560)</f>
        <v>0.91330346381337479</v>
      </c>
      <c r="F561" s="217">
        <f t="shared" si="51"/>
        <v>1.8266069276267498E-2</v>
      </c>
      <c r="G561" s="302"/>
      <c r="H561" s="83"/>
      <c r="I561" s="53"/>
      <c r="J561" s="53"/>
      <c r="K561" s="66"/>
    </row>
    <row r="562" spans="1:11" s="42" customFormat="1" ht="12" customHeight="1" x14ac:dyDescent="0.2">
      <c r="A562" s="216"/>
      <c r="B562" s="10" t="s">
        <v>111</v>
      </c>
      <c r="C562" s="21" t="s">
        <v>11</v>
      </c>
      <c r="D562" s="21">
        <v>0.05</v>
      </c>
      <c r="E562" s="46">
        <f>SUM(F553:F560)</f>
        <v>0.91330346381337479</v>
      </c>
      <c r="F562" s="217">
        <f t="shared" si="51"/>
        <v>4.5665173190668741E-2</v>
      </c>
      <c r="G562" s="302"/>
      <c r="H562" s="83"/>
      <c r="I562" s="53"/>
      <c r="J562" s="53"/>
      <c r="K562" s="69"/>
    </row>
    <row r="563" spans="1:11" s="42" customFormat="1" ht="12" customHeight="1" x14ac:dyDescent="0.2">
      <c r="A563" s="216"/>
      <c r="B563" s="10" t="s">
        <v>96</v>
      </c>
      <c r="C563" s="21" t="s">
        <v>33</v>
      </c>
      <c r="D563" s="21">
        <v>7.0000000000000007E-2</v>
      </c>
      <c r="E563" s="46">
        <f>VLOOKUP(B563,'Costo de Materiales'!B$4:D$350,3,FALSE)</f>
        <v>0.92983256953090243</v>
      </c>
      <c r="F563" s="217">
        <f t="shared" si="51"/>
        <v>6.5088279867163173E-2</v>
      </c>
      <c r="G563" s="302"/>
      <c r="H563" s="83"/>
      <c r="I563" s="53"/>
      <c r="J563" s="53"/>
      <c r="K563" s="69"/>
    </row>
    <row r="564" spans="1:11" s="42" customFormat="1" ht="12" customHeight="1" x14ac:dyDescent="0.2">
      <c r="A564" s="216"/>
      <c r="B564" s="10" t="s">
        <v>10</v>
      </c>
      <c r="C564" s="21" t="s">
        <v>33</v>
      </c>
      <c r="D564" s="21">
        <v>7.0000000000000007E-2</v>
      </c>
      <c r="E564" s="46">
        <f>VLOOKUP(B564,'Costo de Materiales'!B$4:D$350,3,FALSE)</f>
        <v>0.35088021491732146</v>
      </c>
      <c r="F564" s="217">
        <f t="shared" si="51"/>
        <v>2.4561615044212504E-2</v>
      </c>
      <c r="G564" s="302"/>
      <c r="H564" s="83"/>
      <c r="I564" s="53"/>
      <c r="J564" s="53"/>
      <c r="K564" s="69"/>
    </row>
    <row r="565" spans="1:11" s="42" customFormat="1" ht="12" customHeight="1" x14ac:dyDescent="0.2">
      <c r="A565" s="218"/>
      <c r="B565" s="22" t="s">
        <v>109</v>
      </c>
      <c r="C565" s="32" t="s">
        <v>11</v>
      </c>
      <c r="D565" s="103">
        <f>VLOOKUP(B565,'Costo de Materiales'!B$4:D$350,3,FALSE)</f>
        <v>0.28999999999999998</v>
      </c>
      <c r="E565" s="47">
        <f>SUM(F563:F564)</f>
        <v>8.9649894911375677E-2</v>
      </c>
      <c r="F565" s="219">
        <f t="shared" si="51"/>
        <v>2.5998469524298944E-2</v>
      </c>
      <c r="G565" s="307"/>
      <c r="H565" s="83"/>
      <c r="I565" s="53"/>
      <c r="J565" s="53"/>
      <c r="K565" s="69"/>
    </row>
    <row r="566" spans="1:11" s="41" customFormat="1" ht="12" customHeight="1" x14ac:dyDescent="0.2">
      <c r="A566" s="209">
        <v>69</v>
      </c>
      <c r="B566" s="88" t="s">
        <v>410</v>
      </c>
      <c r="C566" s="91" t="s">
        <v>17</v>
      </c>
      <c r="D566" s="91"/>
      <c r="E566" s="94"/>
      <c r="F566" s="210">
        <f>SUM(F567:F573)</f>
        <v>1.2693488747870469</v>
      </c>
      <c r="G566" s="302"/>
      <c r="H566" s="83"/>
      <c r="I566" s="53"/>
      <c r="J566" s="53"/>
      <c r="K566" s="66"/>
    </row>
    <row r="567" spans="1:11" s="41" customFormat="1" ht="12" customHeight="1" x14ac:dyDescent="0.2">
      <c r="A567" s="205"/>
      <c r="B567" s="12" t="s">
        <v>409</v>
      </c>
      <c r="C567" s="11" t="s">
        <v>17</v>
      </c>
      <c r="D567" s="11">
        <v>1</v>
      </c>
      <c r="E567" s="44">
        <f>VLOOKUP(B567,'Costo de Materiales'!B$4:D$350,3,FALSE)</f>
        <v>0.40976429462071923</v>
      </c>
      <c r="F567" s="206">
        <f t="shared" ref="F567:F573" si="52">D567*E567</f>
        <v>0.40976429462071923</v>
      </c>
      <c r="G567" s="302"/>
      <c r="H567" s="83"/>
      <c r="I567" s="53"/>
      <c r="J567" s="53"/>
      <c r="K567" s="66"/>
    </row>
    <row r="568" spans="1:11" s="41" customFormat="1" ht="12" customHeight="1" x14ac:dyDescent="0.2">
      <c r="A568" s="205"/>
      <c r="B568" s="10" t="s">
        <v>495</v>
      </c>
      <c r="C568" s="21" t="s">
        <v>17</v>
      </c>
      <c r="D568" s="21">
        <v>1</v>
      </c>
      <c r="E568" s="46">
        <f>F644</f>
        <v>0.44831324471256484</v>
      </c>
      <c r="F568" s="217">
        <f t="shared" si="52"/>
        <v>0.44831324471256484</v>
      </c>
      <c r="G568" s="302"/>
      <c r="H568" s="83"/>
      <c r="I568" s="53"/>
      <c r="J568" s="53"/>
      <c r="K568" s="66"/>
    </row>
    <row r="569" spans="1:11" s="41" customFormat="1" ht="12" customHeight="1" x14ac:dyDescent="0.2">
      <c r="A569" s="205"/>
      <c r="B569" s="12" t="s">
        <v>280</v>
      </c>
      <c r="C569" s="11" t="s">
        <v>38</v>
      </c>
      <c r="D569" s="11">
        <v>1</v>
      </c>
      <c r="E569" s="44">
        <f>F1140</f>
        <v>5.3500107656429582E-2</v>
      </c>
      <c r="F569" s="206">
        <f t="shared" si="52"/>
        <v>5.3500107656429582E-2</v>
      </c>
      <c r="G569" s="302"/>
      <c r="H569" s="83"/>
      <c r="I569" s="53"/>
      <c r="J569" s="53"/>
      <c r="K569" s="66"/>
    </row>
    <row r="570" spans="1:11" s="41" customFormat="1" ht="12" customHeight="1" x14ac:dyDescent="0.2">
      <c r="A570" s="205"/>
      <c r="B570" s="12" t="s">
        <v>111</v>
      </c>
      <c r="C570" s="11" t="s">
        <v>11</v>
      </c>
      <c r="D570" s="11">
        <v>0.03</v>
      </c>
      <c r="E570" s="44">
        <f>SUM(F567:F569)</f>
        <v>0.91157764698971355</v>
      </c>
      <c r="F570" s="206">
        <f t="shared" si="52"/>
        <v>2.7347329409691406E-2</v>
      </c>
      <c r="G570" s="302"/>
      <c r="H570" s="83"/>
      <c r="I570" s="53"/>
      <c r="J570" s="53"/>
      <c r="K570" s="66"/>
    </row>
    <row r="571" spans="1:11" s="41" customFormat="1" ht="12" customHeight="1" x14ac:dyDescent="0.2">
      <c r="A571" s="205"/>
      <c r="B571" s="12" t="s">
        <v>96</v>
      </c>
      <c r="C571" s="11" t="s">
        <v>33</v>
      </c>
      <c r="D571" s="11">
        <v>0.2</v>
      </c>
      <c r="E571" s="44">
        <f>VLOOKUP(B571,'Costo de Materiales'!B$4:D$350,3,FALSE)</f>
        <v>0.92983256953090243</v>
      </c>
      <c r="F571" s="206">
        <f t="shared" si="52"/>
        <v>0.18596651390618049</v>
      </c>
      <c r="G571" s="302"/>
      <c r="H571" s="83"/>
      <c r="I571" s="53"/>
      <c r="J571" s="53"/>
      <c r="K571" s="66"/>
    </row>
    <row r="572" spans="1:11" s="41" customFormat="1" ht="12" customHeight="1" x14ac:dyDescent="0.2">
      <c r="A572" s="205"/>
      <c r="B572" s="12" t="s">
        <v>10</v>
      </c>
      <c r="C572" s="11" t="s">
        <v>33</v>
      </c>
      <c r="D572" s="11">
        <v>0.2</v>
      </c>
      <c r="E572" s="44">
        <f>VLOOKUP(B572,'Costo de Materiales'!B$4:D$350,3,FALSE)</f>
        <v>0.35088021491732146</v>
      </c>
      <c r="F572" s="206">
        <f t="shared" si="52"/>
        <v>7.017604298346429E-2</v>
      </c>
      <c r="G572" s="302"/>
      <c r="H572" s="83"/>
      <c r="I572" s="53"/>
      <c r="J572" s="53"/>
      <c r="K572" s="66"/>
    </row>
    <row r="573" spans="1:11" s="41" customFormat="1" ht="12" customHeight="1" x14ac:dyDescent="0.2">
      <c r="A573" s="207"/>
      <c r="B573" s="26" t="s">
        <v>109</v>
      </c>
      <c r="C573" s="23" t="s">
        <v>11</v>
      </c>
      <c r="D573" s="80">
        <f>VLOOKUP(B573,'Costo de Materiales'!B$4:D$350,3,FALSE)</f>
        <v>0.28999999999999998</v>
      </c>
      <c r="E573" s="45">
        <f>SUM(F571:F572)</f>
        <v>0.25614255688964477</v>
      </c>
      <c r="F573" s="208">
        <f t="shared" si="52"/>
        <v>7.4281341497996978E-2</v>
      </c>
      <c r="G573" s="302"/>
      <c r="H573" s="83"/>
      <c r="I573" s="53"/>
      <c r="J573" s="53"/>
      <c r="K573" s="66"/>
    </row>
    <row r="574" spans="1:11" s="41" customFormat="1" ht="12" customHeight="1" x14ac:dyDescent="0.2">
      <c r="A574" s="209">
        <v>70</v>
      </c>
      <c r="B574" s="88" t="s">
        <v>497</v>
      </c>
      <c r="C574" s="91" t="s">
        <v>17</v>
      </c>
      <c r="D574" s="91"/>
      <c r="E574" s="94"/>
      <c r="F574" s="210">
        <f>SUM(F575:F581)</f>
        <v>1.6128850002752089</v>
      </c>
      <c r="G574" s="303"/>
      <c r="H574" s="83"/>
      <c r="I574" s="53"/>
      <c r="J574" s="53"/>
      <c r="K574" s="66"/>
    </row>
    <row r="575" spans="1:11" s="41" customFormat="1" ht="12" customHeight="1" x14ac:dyDescent="0.2">
      <c r="A575" s="205"/>
      <c r="B575" s="12" t="s">
        <v>411</v>
      </c>
      <c r="C575" s="11" t="s">
        <v>17</v>
      </c>
      <c r="D575" s="11">
        <v>0.5</v>
      </c>
      <c r="E575" s="44">
        <f>VLOOKUP(B575,'Costo de Materiales'!B$4:D$350,3,FALSE)</f>
        <v>1.4895343596260637</v>
      </c>
      <c r="F575" s="206">
        <f t="shared" ref="F575:F581" si="53">D575*E575</f>
        <v>0.74476717981303187</v>
      </c>
      <c r="G575" s="302"/>
      <c r="H575" s="83"/>
      <c r="I575" s="53"/>
      <c r="J575" s="53"/>
      <c r="K575" s="66"/>
    </row>
    <row r="576" spans="1:11" s="41" customFormat="1" ht="12" customHeight="1" x14ac:dyDescent="0.2">
      <c r="A576" s="205"/>
      <c r="B576" s="10" t="s">
        <v>495</v>
      </c>
      <c r="C576" s="21" t="s">
        <v>17</v>
      </c>
      <c r="D576" s="21">
        <v>1</v>
      </c>
      <c r="E576" s="46">
        <f>F644</f>
        <v>0.44831324471256484</v>
      </c>
      <c r="F576" s="217">
        <f t="shared" si="53"/>
        <v>0.44831324471256484</v>
      </c>
      <c r="G576" s="302"/>
      <c r="H576" s="83"/>
      <c r="I576" s="53"/>
      <c r="J576" s="53"/>
      <c r="K576" s="66"/>
    </row>
    <row r="577" spans="1:11" s="41" customFormat="1" ht="12" customHeight="1" x14ac:dyDescent="0.2">
      <c r="A577" s="205"/>
      <c r="B577" s="10" t="s">
        <v>51</v>
      </c>
      <c r="C577" s="11" t="s">
        <v>38</v>
      </c>
      <c r="D577" s="11">
        <v>1</v>
      </c>
      <c r="E577" s="44">
        <f>F1133</f>
        <v>5.202744138466265E-2</v>
      </c>
      <c r="F577" s="206">
        <f t="shared" si="53"/>
        <v>5.202744138466265E-2</v>
      </c>
      <c r="G577" s="302"/>
      <c r="H577" s="83"/>
      <c r="I577" s="53"/>
      <c r="J577" s="53"/>
      <c r="K577" s="66"/>
    </row>
    <row r="578" spans="1:11" s="41" customFormat="1" ht="12" customHeight="1" x14ac:dyDescent="0.2">
      <c r="A578" s="205"/>
      <c r="B578" s="12" t="s">
        <v>111</v>
      </c>
      <c r="C578" s="11" t="s">
        <v>11</v>
      </c>
      <c r="D578" s="11">
        <v>0.03</v>
      </c>
      <c r="E578" s="44">
        <f>SUM(F575:F577)</f>
        <v>1.2451078659102592</v>
      </c>
      <c r="F578" s="206">
        <f t="shared" si="53"/>
        <v>3.7353235977307775E-2</v>
      </c>
      <c r="G578" s="302"/>
      <c r="H578" s="83"/>
      <c r="I578" s="53"/>
      <c r="J578" s="53"/>
      <c r="K578" s="66"/>
    </row>
    <row r="579" spans="1:11" s="41" customFormat="1" ht="12" customHeight="1" x14ac:dyDescent="0.2">
      <c r="A579" s="205"/>
      <c r="B579" s="12" t="s">
        <v>96</v>
      </c>
      <c r="C579" s="11" t="s">
        <v>33</v>
      </c>
      <c r="D579" s="11">
        <v>0.2</v>
      </c>
      <c r="E579" s="44">
        <f>VLOOKUP(B579,'Costo de Materiales'!B$4:D$350,3,FALSE)</f>
        <v>0.92983256953090243</v>
      </c>
      <c r="F579" s="206">
        <f t="shared" si="53"/>
        <v>0.18596651390618049</v>
      </c>
      <c r="G579" s="302"/>
      <c r="H579" s="83"/>
      <c r="I579" s="53"/>
      <c r="J579" s="53"/>
      <c r="K579" s="66"/>
    </row>
    <row r="580" spans="1:11" s="41" customFormat="1" ht="12" customHeight="1" x14ac:dyDescent="0.2">
      <c r="A580" s="205"/>
      <c r="B580" s="12" t="s">
        <v>10</v>
      </c>
      <c r="C580" s="11" t="s">
        <v>33</v>
      </c>
      <c r="D580" s="11">
        <v>0.2</v>
      </c>
      <c r="E580" s="44">
        <f>VLOOKUP(B580,'Costo de Materiales'!B$4:D$350,3,FALSE)</f>
        <v>0.35088021491732146</v>
      </c>
      <c r="F580" s="206">
        <f t="shared" si="53"/>
        <v>7.017604298346429E-2</v>
      </c>
      <c r="G580" s="302"/>
      <c r="H580" s="83"/>
      <c r="I580" s="53"/>
      <c r="J580" s="53"/>
      <c r="K580" s="66"/>
    </row>
    <row r="581" spans="1:11" s="41" customFormat="1" ht="12" customHeight="1" x14ac:dyDescent="0.2">
      <c r="A581" s="207"/>
      <c r="B581" s="26" t="s">
        <v>109</v>
      </c>
      <c r="C581" s="23" t="s">
        <v>11</v>
      </c>
      <c r="D581" s="80">
        <f>VLOOKUP(B581,'Costo de Materiales'!B$4:D$350,3,FALSE)</f>
        <v>0.28999999999999998</v>
      </c>
      <c r="E581" s="45">
        <f>SUM(F579:F580)</f>
        <v>0.25614255688964477</v>
      </c>
      <c r="F581" s="208">
        <f t="shared" si="53"/>
        <v>7.4281341497996978E-2</v>
      </c>
      <c r="G581" s="307"/>
      <c r="H581" s="83"/>
      <c r="I581" s="53"/>
      <c r="J581" s="53"/>
      <c r="K581" s="66"/>
    </row>
    <row r="582" spans="1:11" s="41" customFormat="1" ht="12" customHeight="1" x14ac:dyDescent="0.2">
      <c r="A582" s="209">
        <v>71</v>
      </c>
      <c r="B582" s="88" t="s">
        <v>498</v>
      </c>
      <c r="C582" s="91" t="s">
        <v>17</v>
      </c>
      <c r="D582" s="91"/>
      <c r="E582" s="94"/>
      <c r="F582" s="210">
        <f>SUM(F583:F589)</f>
        <v>1.3976012671521487</v>
      </c>
      <c r="G582" s="302"/>
      <c r="H582" s="83"/>
      <c r="I582" s="53"/>
      <c r="J582" s="53"/>
      <c r="K582" s="66"/>
    </row>
    <row r="583" spans="1:11" s="41" customFormat="1" ht="12" customHeight="1" x14ac:dyDescent="0.2">
      <c r="A583" s="205"/>
      <c r="B583" s="12" t="s">
        <v>413</v>
      </c>
      <c r="C583" s="11" t="s">
        <v>17</v>
      </c>
      <c r="D583" s="11">
        <v>0.5</v>
      </c>
      <c r="E583" s="44">
        <f>VLOOKUP(B583,'Costo de Materiales'!B$4:D$350,3,FALSE)</f>
        <v>1.0975214140600253</v>
      </c>
      <c r="F583" s="206">
        <f t="shared" ref="F583:F588" si="54">D583*E583</f>
        <v>0.54876070703001267</v>
      </c>
      <c r="G583" s="302"/>
      <c r="H583" s="83"/>
      <c r="I583" s="53"/>
      <c r="J583" s="53"/>
      <c r="K583" s="66"/>
    </row>
    <row r="584" spans="1:11" s="41" customFormat="1" ht="12" customHeight="1" x14ac:dyDescent="0.2">
      <c r="A584" s="205"/>
      <c r="B584" s="10" t="s">
        <v>495</v>
      </c>
      <c r="C584" s="21" t="s">
        <v>17</v>
      </c>
      <c r="D584" s="21">
        <v>1</v>
      </c>
      <c r="E584" s="46">
        <f>F644</f>
        <v>0.44831324471256484</v>
      </c>
      <c r="F584" s="217">
        <f t="shared" si="54"/>
        <v>0.44831324471256484</v>
      </c>
      <c r="G584" s="302"/>
      <c r="H584" s="83"/>
      <c r="I584" s="53"/>
      <c r="J584" s="53"/>
      <c r="K584" s="66"/>
    </row>
    <row r="585" spans="1:11" s="41" customFormat="1" ht="12" customHeight="1" x14ac:dyDescent="0.2">
      <c r="A585" s="205"/>
      <c r="B585" s="10" t="s">
        <v>51</v>
      </c>
      <c r="C585" s="11" t="s">
        <v>38</v>
      </c>
      <c r="D585" s="11">
        <v>0.75</v>
      </c>
      <c r="E585" s="44">
        <f>F1133</f>
        <v>5.202744138466265E-2</v>
      </c>
      <c r="F585" s="206">
        <f t="shared" si="54"/>
        <v>3.9020581038496989E-2</v>
      </c>
      <c r="G585" s="302"/>
      <c r="H585" s="83"/>
      <c r="I585" s="53"/>
      <c r="J585" s="53"/>
      <c r="K585" s="66"/>
    </row>
    <row r="586" spans="1:11" s="41" customFormat="1" ht="12" customHeight="1" x14ac:dyDescent="0.2">
      <c r="A586" s="205"/>
      <c r="B586" s="12" t="s">
        <v>111</v>
      </c>
      <c r="C586" s="11" t="s">
        <v>11</v>
      </c>
      <c r="D586" s="11">
        <v>0.03</v>
      </c>
      <c r="E586" s="44">
        <f>SUM(F583:F585)</f>
        <v>1.0360945327810744</v>
      </c>
      <c r="F586" s="206">
        <f t="shared" si="54"/>
        <v>3.1082835983432231E-2</v>
      </c>
      <c r="G586" s="302"/>
      <c r="H586" s="83"/>
      <c r="I586" s="53"/>
      <c r="J586" s="53"/>
      <c r="K586" s="66"/>
    </row>
    <row r="587" spans="1:11" s="41" customFormat="1" ht="12" customHeight="1" x14ac:dyDescent="0.2">
      <c r="A587" s="205"/>
      <c r="B587" s="12" t="s">
        <v>96</v>
      </c>
      <c r="C587" s="11" t="s">
        <v>33</v>
      </c>
      <c r="D587" s="11">
        <v>0.2</v>
      </c>
      <c r="E587" s="44">
        <f>VLOOKUP(B587,'Costo de Materiales'!B$4:D$350,3,FALSE)</f>
        <v>0.92983256953090243</v>
      </c>
      <c r="F587" s="206">
        <f t="shared" si="54"/>
        <v>0.18596651390618049</v>
      </c>
      <c r="G587" s="302"/>
      <c r="H587" s="83"/>
      <c r="I587" s="53"/>
      <c r="J587" s="53"/>
      <c r="K587" s="66"/>
    </row>
    <row r="588" spans="1:11" s="41" customFormat="1" ht="12" customHeight="1" x14ac:dyDescent="0.2">
      <c r="A588" s="205"/>
      <c r="B588" s="12" t="s">
        <v>10</v>
      </c>
      <c r="C588" s="11" t="s">
        <v>33</v>
      </c>
      <c r="D588" s="11">
        <v>0.2</v>
      </c>
      <c r="E588" s="44">
        <f>VLOOKUP(B588,'Costo de Materiales'!B$4:D$350,3,FALSE)</f>
        <v>0.35088021491732146</v>
      </c>
      <c r="F588" s="206">
        <f t="shared" si="54"/>
        <v>7.017604298346429E-2</v>
      </c>
      <c r="G588" s="302"/>
      <c r="H588" s="83"/>
      <c r="I588" s="53"/>
      <c r="J588" s="53"/>
      <c r="K588" s="66"/>
    </row>
    <row r="589" spans="1:11" s="41" customFormat="1" ht="12" customHeight="1" x14ac:dyDescent="0.2">
      <c r="A589" s="207"/>
      <c r="B589" s="26" t="s">
        <v>109</v>
      </c>
      <c r="C589" s="23" t="s">
        <v>11</v>
      </c>
      <c r="D589" s="80">
        <f>VLOOKUP(B589,'Costo de Materiales'!B$4:D$350,3,FALSE)</f>
        <v>0.28999999999999998</v>
      </c>
      <c r="E589" s="45">
        <f>SUM(F587:F588)</f>
        <v>0.25614255688964477</v>
      </c>
      <c r="F589" s="208">
        <f>D589*E589</f>
        <v>7.4281341497996978E-2</v>
      </c>
      <c r="G589" s="302"/>
      <c r="H589" s="83"/>
      <c r="I589" s="53"/>
      <c r="J589" s="53"/>
      <c r="K589" s="66"/>
    </row>
    <row r="590" spans="1:11" s="1" customFormat="1" ht="12" customHeight="1" x14ac:dyDescent="0.2">
      <c r="A590" s="209">
        <v>72</v>
      </c>
      <c r="B590" s="88" t="s">
        <v>623</v>
      </c>
      <c r="C590" s="190" t="s">
        <v>17</v>
      </c>
      <c r="D590" s="104"/>
      <c r="E590" s="105"/>
      <c r="F590" s="210">
        <f>SUM(F591:F596)</f>
        <v>0.80206848799579222</v>
      </c>
      <c r="G590" s="303"/>
      <c r="H590" s="83"/>
      <c r="I590" s="53"/>
      <c r="J590" s="53"/>
      <c r="K590" s="62"/>
    </row>
    <row r="591" spans="1:11" s="3" customFormat="1" ht="12" customHeight="1" x14ac:dyDescent="0.2">
      <c r="A591" s="205"/>
      <c r="B591" s="12" t="s">
        <v>613</v>
      </c>
      <c r="C591" s="11" t="s">
        <v>17</v>
      </c>
      <c r="D591" s="21">
        <v>1</v>
      </c>
      <c r="E591" s="44">
        <f>VLOOKUP(B591,'Costo de Materiales'!B$4:D$350,3,FALSE)</f>
        <v>0.27716165588712233</v>
      </c>
      <c r="F591" s="206">
        <f t="shared" ref="F591:F596" si="55">D591*E591</f>
        <v>0.27716165588712233</v>
      </c>
      <c r="G591" s="302"/>
      <c r="H591" s="83"/>
      <c r="I591" s="53"/>
      <c r="J591" s="53"/>
      <c r="K591" s="58"/>
    </row>
    <row r="592" spans="1:11" s="3" customFormat="1" ht="12" customHeight="1" x14ac:dyDescent="0.2">
      <c r="A592" s="205"/>
      <c r="B592" s="12" t="s">
        <v>72</v>
      </c>
      <c r="C592" s="11" t="s">
        <v>18</v>
      </c>
      <c r="D592" s="11">
        <v>0.33</v>
      </c>
      <c r="E592" s="44">
        <f>VLOOKUP(B592,'Costo de Materiales'!B$4:D$350,3,FALSE)</f>
        <v>5.7033984024742801E-2</v>
      </c>
      <c r="F592" s="206">
        <f t="shared" si="55"/>
        <v>1.8821214728165125E-2</v>
      </c>
      <c r="G592" s="302"/>
      <c r="H592" s="83"/>
      <c r="I592" s="53"/>
      <c r="J592" s="53"/>
      <c r="K592" s="58"/>
    </row>
    <row r="593" spans="1:11" s="3" customFormat="1" ht="12" customHeight="1" x14ac:dyDescent="0.2">
      <c r="A593" s="205"/>
      <c r="B593" s="10" t="s">
        <v>111</v>
      </c>
      <c r="C593" s="11" t="s">
        <v>11</v>
      </c>
      <c r="D593" s="11">
        <v>0.15</v>
      </c>
      <c r="E593" s="44">
        <f>SUM(F591:F592)</f>
        <v>0.29598287061528744</v>
      </c>
      <c r="F593" s="206">
        <f t="shared" si="55"/>
        <v>4.4397430592293112E-2</v>
      </c>
      <c r="G593" s="302"/>
      <c r="H593" s="83"/>
      <c r="I593" s="53"/>
      <c r="J593" s="53"/>
      <c r="K593" s="58"/>
    </row>
    <row r="594" spans="1:11" s="3" customFormat="1" ht="12" customHeight="1" x14ac:dyDescent="0.2">
      <c r="A594" s="205"/>
      <c r="B594" s="10" t="s">
        <v>83</v>
      </c>
      <c r="C594" s="11" t="s">
        <v>33</v>
      </c>
      <c r="D594" s="11">
        <v>0.3</v>
      </c>
      <c r="E594" s="44">
        <f>VLOOKUP(B594,'Costo de Materiales'!B$4:D$350,3,FALSE)</f>
        <v>0.84211251580157165</v>
      </c>
      <c r="F594" s="206">
        <f t="shared" si="55"/>
        <v>0.25263375474047151</v>
      </c>
      <c r="G594" s="302"/>
      <c r="H594" s="83"/>
      <c r="I594" s="53"/>
      <c r="J594" s="53"/>
      <c r="K594" s="58"/>
    </row>
    <row r="595" spans="1:11" s="3" customFormat="1" ht="12" customHeight="1" x14ac:dyDescent="0.2">
      <c r="A595" s="205"/>
      <c r="B595" s="10" t="s">
        <v>10</v>
      </c>
      <c r="C595" s="11" t="s">
        <v>33</v>
      </c>
      <c r="D595" s="11">
        <v>0.3</v>
      </c>
      <c r="E595" s="44">
        <f>VLOOKUP(B595,'Costo de Materiales'!B$4:D$350,3,FALSE)</f>
        <v>0.35088021491732146</v>
      </c>
      <c r="F595" s="206">
        <f t="shared" si="55"/>
        <v>0.10526406447519644</v>
      </c>
      <c r="G595" s="302"/>
      <c r="H595" s="83"/>
      <c r="I595" s="53"/>
      <c r="J595" s="53"/>
      <c r="K595" s="58"/>
    </row>
    <row r="596" spans="1:11" s="3" customFormat="1" ht="12" customHeight="1" x14ac:dyDescent="0.2">
      <c r="A596" s="205"/>
      <c r="B596" s="22" t="s">
        <v>93</v>
      </c>
      <c r="C596" s="23" t="s">
        <v>11</v>
      </c>
      <c r="D596" s="23">
        <v>0.28999999999999998</v>
      </c>
      <c r="E596" s="45">
        <f>SUM(F594:F595)</f>
        <v>0.35789781921566793</v>
      </c>
      <c r="F596" s="206">
        <f t="shared" si="55"/>
        <v>0.10379036757254369</v>
      </c>
      <c r="G596" s="307"/>
      <c r="H596" s="83"/>
      <c r="I596" s="53"/>
      <c r="J596" s="53"/>
      <c r="K596" s="58"/>
    </row>
    <row r="597" spans="1:11" s="1" customFormat="1" ht="12" customHeight="1" x14ac:dyDescent="0.2">
      <c r="A597" s="209">
        <v>73</v>
      </c>
      <c r="B597" s="88" t="s">
        <v>624</v>
      </c>
      <c r="C597" s="190" t="s">
        <v>17</v>
      </c>
      <c r="D597" s="104"/>
      <c r="E597" s="105"/>
      <c r="F597" s="210">
        <f>SUM(F598:F603)</f>
        <v>0.86530123295860739</v>
      </c>
      <c r="G597" s="302"/>
      <c r="H597" s="83"/>
      <c r="I597" s="53"/>
      <c r="J597" s="53"/>
      <c r="K597" s="62"/>
    </row>
    <row r="598" spans="1:11" s="3" customFormat="1" ht="12" customHeight="1" x14ac:dyDescent="0.2">
      <c r="A598" s="205"/>
      <c r="B598" s="12" t="s">
        <v>614</v>
      </c>
      <c r="C598" s="11" t="s">
        <v>17</v>
      </c>
      <c r="D598" s="21">
        <v>1</v>
      </c>
      <c r="E598" s="44">
        <f>VLOOKUP(B598,'Costo de Materiales'!B$4:D$350,3,FALSE)</f>
        <v>0.33214665150696165</v>
      </c>
      <c r="F598" s="206">
        <f t="shared" ref="F598:F603" si="56">D598*E598</f>
        <v>0.33214665150696165</v>
      </c>
      <c r="G598" s="302"/>
      <c r="H598" s="83"/>
      <c r="I598" s="53"/>
      <c r="J598" s="53"/>
      <c r="K598" s="58"/>
    </row>
    <row r="599" spans="1:11" s="3" customFormat="1" ht="12" customHeight="1" x14ac:dyDescent="0.2">
      <c r="A599" s="205"/>
      <c r="B599" s="12" t="s">
        <v>72</v>
      </c>
      <c r="C599" s="11" t="s">
        <v>18</v>
      </c>
      <c r="D599" s="11">
        <v>0.33</v>
      </c>
      <c r="E599" s="44">
        <f>VLOOKUP(B599,'Costo de Materiales'!B$4:D$350,3,FALSE)</f>
        <v>5.7033984024742801E-2</v>
      </c>
      <c r="F599" s="206">
        <f t="shared" si="56"/>
        <v>1.8821214728165125E-2</v>
      </c>
      <c r="G599" s="302"/>
      <c r="H599" s="83"/>
      <c r="I599" s="53"/>
      <c r="J599" s="53"/>
      <c r="K599" s="58"/>
    </row>
    <row r="600" spans="1:11" s="3" customFormat="1" ht="12" customHeight="1" x14ac:dyDescent="0.2">
      <c r="A600" s="205"/>
      <c r="B600" s="10" t="s">
        <v>111</v>
      </c>
      <c r="C600" s="11" t="s">
        <v>11</v>
      </c>
      <c r="D600" s="11">
        <v>0.15</v>
      </c>
      <c r="E600" s="44">
        <f>SUM(F598:F599)</f>
        <v>0.35096786623512677</v>
      </c>
      <c r="F600" s="206">
        <f t="shared" si="56"/>
        <v>5.2645179935269015E-2</v>
      </c>
      <c r="G600" s="302"/>
      <c r="H600" s="83"/>
      <c r="I600" s="53"/>
      <c r="J600" s="53"/>
      <c r="K600" s="58"/>
    </row>
    <row r="601" spans="1:11" s="3" customFormat="1" ht="12" customHeight="1" x14ac:dyDescent="0.2">
      <c r="A601" s="205"/>
      <c r="B601" s="10" t="s">
        <v>83</v>
      </c>
      <c r="C601" s="11" t="s">
        <v>33</v>
      </c>
      <c r="D601" s="11">
        <v>0.3</v>
      </c>
      <c r="E601" s="44">
        <f>VLOOKUP(B601,'Costo de Materiales'!B$4:D$350,3,FALSE)</f>
        <v>0.84211251580157165</v>
      </c>
      <c r="F601" s="206">
        <f t="shared" si="56"/>
        <v>0.25263375474047151</v>
      </c>
      <c r="G601" s="302"/>
      <c r="H601" s="83"/>
      <c r="I601" s="53"/>
      <c r="J601" s="53"/>
      <c r="K601" s="58"/>
    </row>
    <row r="602" spans="1:11" s="3" customFormat="1" ht="12" customHeight="1" x14ac:dyDescent="0.2">
      <c r="A602" s="205"/>
      <c r="B602" s="10" t="s">
        <v>10</v>
      </c>
      <c r="C602" s="11" t="s">
        <v>33</v>
      </c>
      <c r="D602" s="11">
        <v>0.3</v>
      </c>
      <c r="E602" s="44">
        <f>VLOOKUP(B602,'Costo de Materiales'!B$4:D$350,3,FALSE)</f>
        <v>0.35088021491732146</v>
      </c>
      <c r="F602" s="206">
        <f t="shared" si="56"/>
        <v>0.10526406447519644</v>
      </c>
      <c r="G602" s="302"/>
      <c r="H602" s="83"/>
      <c r="I602" s="53"/>
      <c r="J602" s="53"/>
      <c r="K602" s="58"/>
    </row>
    <row r="603" spans="1:11" s="3" customFormat="1" ht="12" customHeight="1" x14ac:dyDescent="0.2">
      <c r="A603" s="205"/>
      <c r="B603" s="22" t="s">
        <v>93</v>
      </c>
      <c r="C603" s="23" t="s">
        <v>11</v>
      </c>
      <c r="D603" s="23">
        <v>0.28999999999999998</v>
      </c>
      <c r="E603" s="45">
        <f>SUM(F601:F602)</f>
        <v>0.35789781921566793</v>
      </c>
      <c r="F603" s="206">
        <f t="shared" si="56"/>
        <v>0.10379036757254369</v>
      </c>
      <c r="G603" s="302"/>
      <c r="H603" s="83"/>
      <c r="I603" s="53"/>
      <c r="J603" s="53"/>
      <c r="K603" s="58"/>
    </row>
    <row r="604" spans="1:11" s="1" customFormat="1" ht="12" customHeight="1" x14ac:dyDescent="0.2">
      <c r="A604" s="209">
        <v>74</v>
      </c>
      <c r="B604" s="88" t="s">
        <v>625</v>
      </c>
      <c r="C604" s="190" t="s">
        <v>17</v>
      </c>
      <c r="D604" s="104"/>
      <c r="E604" s="105"/>
      <c r="F604" s="210">
        <f>SUM(F605:F610)</f>
        <v>0.9545772949145821</v>
      </c>
      <c r="G604" s="303"/>
      <c r="H604" s="83"/>
      <c r="I604" s="53"/>
      <c r="J604" s="53"/>
      <c r="K604" s="62"/>
    </row>
    <row r="605" spans="1:11" s="3" customFormat="1" ht="12" customHeight="1" x14ac:dyDescent="0.2">
      <c r="A605" s="205"/>
      <c r="B605" s="12" t="s">
        <v>615</v>
      </c>
      <c r="C605" s="11" t="s">
        <v>17</v>
      </c>
      <c r="D605" s="21">
        <v>1</v>
      </c>
      <c r="E605" s="44">
        <f>VLOOKUP(B605,'Costo de Materiales'!B$4:D$350,3,FALSE)</f>
        <v>0.40977800972954836</v>
      </c>
      <c r="F605" s="206">
        <f t="shared" ref="F605:F610" si="57">D605*E605</f>
        <v>0.40977800972954836</v>
      </c>
      <c r="G605" s="302"/>
      <c r="H605" s="83"/>
      <c r="I605" s="53"/>
      <c r="J605" s="53"/>
      <c r="K605" s="58"/>
    </row>
    <row r="606" spans="1:11" s="3" customFormat="1" ht="12" customHeight="1" x14ac:dyDescent="0.2">
      <c r="A606" s="205"/>
      <c r="B606" s="12" t="s">
        <v>72</v>
      </c>
      <c r="C606" s="11" t="s">
        <v>18</v>
      </c>
      <c r="D606" s="11">
        <v>0.33</v>
      </c>
      <c r="E606" s="44">
        <f>VLOOKUP(B606,'Costo de Materiales'!B$4:D$350,3,FALSE)</f>
        <v>5.7033984024742801E-2</v>
      </c>
      <c r="F606" s="206">
        <f t="shared" si="57"/>
        <v>1.8821214728165125E-2</v>
      </c>
      <c r="G606" s="302"/>
      <c r="H606" s="83"/>
      <c r="I606" s="53"/>
      <c r="J606" s="53"/>
      <c r="K606" s="58"/>
    </row>
    <row r="607" spans="1:11" s="3" customFormat="1" ht="12" customHeight="1" x14ac:dyDescent="0.2">
      <c r="A607" s="205"/>
      <c r="B607" s="10" t="s">
        <v>111</v>
      </c>
      <c r="C607" s="11" t="s">
        <v>11</v>
      </c>
      <c r="D607" s="11">
        <v>0.15</v>
      </c>
      <c r="E607" s="44">
        <f>SUM(F605:F606)</f>
        <v>0.42859922445771348</v>
      </c>
      <c r="F607" s="206">
        <f t="shared" si="57"/>
        <v>6.4289883668657025E-2</v>
      </c>
      <c r="G607" s="302"/>
      <c r="H607" s="83"/>
      <c r="I607" s="53"/>
      <c r="J607" s="53"/>
      <c r="K607" s="58"/>
    </row>
    <row r="608" spans="1:11" s="3" customFormat="1" ht="12" customHeight="1" x14ac:dyDescent="0.2">
      <c r="A608" s="205"/>
      <c r="B608" s="10" t="s">
        <v>83</v>
      </c>
      <c r="C608" s="11" t="s">
        <v>33</v>
      </c>
      <c r="D608" s="11">
        <v>0.3</v>
      </c>
      <c r="E608" s="44">
        <f>VLOOKUP(B608,'Costo de Materiales'!B$4:D$350,3,FALSE)</f>
        <v>0.84211251580157165</v>
      </c>
      <c r="F608" s="206">
        <f t="shared" si="57"/>
        <v>0.25263375474047151</v>
      </c>
      <c r="G608" s="302"/>
      <c r="H608" s="83"/>
      <c r="I608" s="53"/>
      <c r="J608" s="53"/>
      <c r="K608" s="58"/>
    </row>
    <row r="609" spans="1:11" s="3" customFormat="1" ht="12" customHeight="1" x14ac:dyDescent="0.2">
      <c r="A609" s="205"/>
      <c r="B609" s="10" t="s">
        <v>10</v>
      </c>
      <c r="C609" s="11" t="s">
        <v>33</v>
      </c>
      <c r="D609" s="11">
        <v>0.3</v>
      </c>
      <c r="E609" s="44">
        <f>VLOOKUP(B609,'Costo de Materiales'!B$4:D$350,3,FALSE)</f>
        <v>0.35088021491732146</v>
      </c>
      <c r="F609" s="206">
        <f t="shared" si="57"/>
        <v>0.10526406447519644</v>
      </c>
      <c r="G609" s="302"/>
      <c r="H609" s="83"/>
      <c r="I609" s="53"/>
      <c r="J609" s="53"/>
      <c r="K609" s="58"/>
    </row>
    <row r="610" spans="1:11" s="3" customFormat="1" ht="12" customHeight="1" x14ac:dyDescent="0.2">
      <c r="A610" s="205"/>
      <c r="B610" s="22" t="s">
        <v>93</v>
      </c>
      <c r="C610" s="23" t="s">
        <v>11</v>
      </c>
      <c r="D610" s="23">
        <v>0.28999999999999998</v>
      </c>
      <c r="E610" s="45">
        <f>SUM(F608:F609)</f>
        <v>0.35789781921566793</v>
      </c>
      <c r="F610" s="206">
        <f t="shared" si="57"/>
        <v>0.10379036757254369</v>
      </c>
      <c r="G610" s="307"/>
      <c r="H610" s="83"/>
      <c r="I610" s="53"/>
      <c r="J610" s="53"/>
      <c r="K610" s="58"/>
    </row>
    <row r="611" spans="1:11" s="1" customFormat="1" ht="12" customHeight="1" x14ac:dyDescent="0.2">
      <c r="A611" s="209">
        <v>75</v>
      </c>
      <c r="B611" s="88" t="s">
        <v>626</v>
      </c>
      <c r="C611" s="91" t="s">
        <v>38</v>
      </c>
      <c r="D611" s="104"/>
      <c r="E611" s="105"/>
      <c r="F611" s="210">
        <f>SUM(F612:F616)</f>
        <v>0.26096939747846909</v>
      </c>
      <c r="G611" s="302"/>
      <c r="H611" s="83"/>
      <c r="I611" s="53"/>
      <c r="J611" s="53"/>
      <c r="K611" s="62"/>
    </row>
    <row r="612" spans="1:11" s="3" customFormat="1" ht="12" customHeight="1" x14ac:dyDescent="0.2">
      <c r="A612" s="205"/>
      <c r="B612" s="12" t="s">
        <v>613</v>
      </c>
      <c r="C612" s="11" t="s">
        <v>38</v>
      </c>
      <c r="D612" s="106">
        <f>1/(2.44*1.22)</f>
        <v>0.33593120128997583</v>
      </c>
      <c r="E612" s="44">
        <f>VLOOKUP(B612,'Costo de Materiales'!B$4:D$350,3,FALSE)</f>
        <v>0.27716165588712233</v>
      </c>
      <c r="F612" s="206">
        <f>D612*E612</f>
        <v>9.3107248013679908E-2</v>
      </c>
      <c r="G612" s="302"/>
      <c r="H612" s="83"/>
      <c r="I612" s="53"/>
      <c r="J612" s="53"/>
      <c r="K612" s="58"/>
    </row>
    <row r="613" spans="1:11" s="3" customFormat="1" ht="12" customHeight="1" x14ac:dyDescent="0.2">
      <c r="A613" s="205"/>
      <c r="B613" s="10" t="s">
        <v>111</v>
      </c>
      <c r="C613" s="11" t="s">
        <v>11</v>
      </c>
      <c r="D613" s="11">
        <v>0.15</v>
      </c>
      <c r="E613" s="44">
        <f>SUM(F612:F612)</f>
        <v>9.3107248013679908E-2</v>
      </c>
      <c r="F613" s="206">
        <f>D613*E613</f>
        <v>1.3966087202051987E-2</v>
      </c>
      <c r="G613" s="302"/>
      <c r="H613" s="83"/>
      <c r="I613" s="53"/>
      <c r="J613" s="53"/>
      <c r="K613" s="58"/>
    </row>
    <row r="614" spans="1:11" s="3" customFormat="1" ht="12" customHeight="1" x14ac:dyDescent="0.2">
      <c r="A614" s="205"/>
      <c r="B614" s="10" t="s">
        <v>83</v>
      </c>
      <c r="C614" s="11" t="s">
        <v>33</v>
      </c>
      <c r="D614" s="11">
        <v>0.1</v>
      </c>
      <c r="E614" s="44">
        <f>VLOOKUP(B614,'Costo de Materiales'!B$4:D$350,3,FALSE)</f>
        <v>0.84211251580157165</v>
      </c>
      <c r="F614" s="206">
        <f>D614*E614</f>
        <v>8.4211251580157173E-2</v>
      </c>
      <c r="G614" s="302"/>
      <c r="H614" s="83"/>
      <c r="I614" s="53"/>
      <c r="J614" s="53"/>
      <c r="K614" s="58"/>
    </row>
    <row r="615" spans="1:11" s="3" customFormat="1" ht="12" customHeight="1" x14ac:dyDescent="0.2">
      <c r="A615" s="205"/>
      <c r="B615" s="10" t="s">
        <v>10</v>
      </c>
      <c r="C615" s="11" t="s">
        <v>33</v>
      </c>
      <c r="D615" s="11">
        <v>0.1</v>
      </c>
      <c r="E615" s="44">
        <f>VLOOKUP(B615,'Costo de Materiales'!B$4:D$350,3,FALSE)</f>
        <v>0.35088021491732146</v>
      </c>
      <c r="F615" s="206">
        <f>D615*E615</f>
        <v>3.5088021491732145E-2</v>
      </c>
      <c r="G615" s="302"/>
      <c r="H615" s="83"/>
      <c r="I615" s="53"/>
      <c r="J615" s="53"/>
      <c r="K615" s="58"/>
    </row>
    <row r="616" spans="1:11" s="3" customFormat="1" ht="12" customHeight="1" x14ac:dyDescent="0.2">
      <c r="A616" s="205"/>
      <c r="B616" s="22" t="s">
        <v>93</v>
      </c>
      <c r="C616" s="23" t="s">
        <v>11</v>
      </c>
      <c r="D616" s="23">
        <v>0.28999999999999998</v>
      </c>
      <c r="E616" s="45">
        <f>SUM(F614:F615)</f>
        <v>0.11929927307188931</v>
      </c>
      <c r="F616" s="206">
        <f>D616*E616</f>
        <v>3.4596789190847896E-2</v>
      </c>
      <c r="G616" s="302"/>
      <c r="H616" s="83"/>
      <c r="I616" s="53"/>
      <c r="J616" s="53"/>
      <c r="K616" s="58"/>
    </row>
    <row r="617" spans="1:11" s="1" customFormat="1" ht="12" customHeight="1" x14ac:dyDescent="0.2">
      <c r="A617" s="209">
        <v>76</v>
      </c>
      <c r="B617" s="88" t="s">
        <v>627</v>
      </c>
      <c r="C617" s="91" t="s">
        <v>38</v>
      </c>
      <c r="D617" s="104"/>
      <c r="E617" s="105"/>
      <c r="F617" s="210">
        <f>SUM(F618:F622)</f>
        <v>0.28221124945469028</v>
      </c>
      <c r="G617" s="303"/>
      <c r="H617" s="83"/>
      <c r="I617" s="53"/>
      <c r="J617" s="53"/>
      <c r="K617" s="62"/>
    </row>
    <row r="618" spans="1:11" s="3" customFormat="1" ht="12" customHeight="1" x14ac:dyDescent="0.2">
      <c r="A618" s="205"/>
      <c r="B618" s="12" t="s">
        <v>614</v>
      </c>
      <c r="C618" s="11" t="s">
        <v>38</v>
      </c>
      <c r="D618" s="106">
        <f>1/(2.44*1.22)</f>
        <v>0.33593120128997583</v>
      </c>
      <c r="E618" s="44">
        <f>VLOOKUP(B618,'Costo de Materiales'!B$4:D$350,3,FALSE)</f>
        <v>0.33214665150696165</v>
      </c>
      <c r="F618" s="206">
        <f>D618*E618</f>
        <v>0.11157842364517659</v>
      </c>
      <c r="G618" s="302"/>
      <c r="H618" s="83"/>
      <c r="I618" s="53"/>
      <c r="J618" s="53"/>
      <c r="K618" s="58"/>
    </row>
    <row r="619" spans="1:11" s="3" customFormat="1" ht="12" customHeight="1" x14ac:dyDescent="0.2">
      <c r="A619" s="205"/>
      <c r="B619" s="10" t="s">
        <v>111</v>
      </c>
      <c r="C619" s="11" t="s">
        <v>11</v>
      </c>
      <c r="D619" s="11">
        <v>0.15</v>
      </c>
      <c r="E619" s="44">
        <f>SUM(F618:F618)</f>
        <v>0.11157842364517659</v>
      </c>
      <c r="F619" s="206">
        <f>D619*E619</f>
        <v>1.6736763546776487E-2</v>
      </c>
      <c r="G619" s="302"/>
      <c r="H619" s="83"/>
      <c r="I619" s="53"/>
      <c r="J619" s="53"/>
      <c r="K619" s="58"/>
    </row>
    <row r="620" spans="1:11" s="3" customFormat="1" ht="12" customHeight="1" x14ac:dyDescent="0.2">
      <c r="A620" s="205"/>
      <c r="B620" s="10" t="s">
        <v>83</v>
      </c>
      <c r="C620" s="11" t="s">
        <v>33</v>
      </c>
      <c r="D620" s="11">
        <v>0.1</v>
      </c>
      <c r="E620" s="44">
        <f>VLOOKUP(B620,'Costo de Materiales'!B$4:D$350,3,FALSE)</f>
        <v>0.84211251580157165</v>
      </c>
      <c r="F620" s="206">
        <f>D620*E620</f>
        <v>8.4211251580157173E-2</v>
      </c>
      <c r="G620" s="302"/>
      <c r="H620" s="83"/>
      <c r="I620" s="53"/>
      <c r="J620" s="53"/>
      <c r="K620" s="58"/>
    </row>
    <row r="621" spans="1:11" s="3" customFormat="1" ht="12" customHeight="1" x14ac:dyDescent="0.2">
      <c r="A621" s="205"/>
      <c r="B621" s="10" t="s">
        <v>10</v>
      </c>
      <c r="C621" s="11" t="s">
        <v>33</v>
      </c>
      <c r="D621" s="11">
        <v>0.1</v>
      </c>
      <c r="E621" s="44">
        <f>VLOOKUP(B621,'Costo de Materiales'!B$4:D$350,3,FALSE)</f>
        <v>0.35088021491732146</v>
      </c>
      <c r="F621" s="206">
        <f>D621*E621</f>
        <v>3.5088021491732145E-2</v>
      </c>
      <c r="G621" s="302"/>
      <c r="H621" s="83"/>
      <c r="I621" s="53"/>
      <c r="J621" s="53"/>
      <c r="K621" s="58"/>
    </row>
    <row r="622" spans="1:11" s="3" customFormat="1" ht="12" customHeight="1" x14ac:dyDescent="0.2">
      <c r="A622" s="205"/>
      <c r="B622" s="22" t="s">
        <v>93</v>
      </c>
      <c r="C622" s="23" t="s">
        <v>11</v>
      </c>
      <c r="D622" s="23">
        <v>0.28999999999999998</v>
      </c>
      <c r="E622" s="45">
        <f>SUM(F620:F621)</f>
        <v>0.11929927307188931</v>
      </c>
      <c r="F622" s="206">
        <f>D622*E622</f>
        <v>3.4596789190847896E-2</v>
      </c>
      <c r="G622" s="307"/>
      <c r="H622" s="83"/>
      <c r="I622" s="53"/>
      <c r="J622" s="53"/>
      <c r="K622" s="58"/>
    </row>
    <row r="623" spans="1:11" s="1" customFormat="1" ht="12" customHeight="1" x14ac:dyDescent="0.2">
      <c r="A623" s="209">
        <v>77</v>
      </c>
      <c r="B623" s="88" t="s">
        <v>628</v>
      </c>
      <c r="C623" s="91" t="s">
        <v>38</v>
      </c>
      <c r="D623" s="104"/>
      <c r="E623" s="105"/>
      <c r="F623" s="210">
        <f>SUM(F624:F628)</f>
        <v>0.3122018641939992</v>
      </c>
      <c r="G623" s="302"/>
      <c r="H623" s="83"/>
      <c r="I623" s="53"/>
      <c r="J623" s="53"/>
      <c r="K623" s="62"/>
    </row>
    <row r="624" spans="1:11" s="3" customFormat="1" ht="12" customHeight="1" x14ac:dyDescent="0.2">
      <c r="A624" s="205"/>
      <c r="B624" s="12" t="s">
        <v>615</v>
      </c>
      <c r="C624" s="11" t="s">
        <v>38</v>
      </c>
      <c r="D624" s="106">
        <f>1/(2.44*1.22)</f>
        <v>0.33593120128997583</v>
      </c>
      <c r="E624" s="44">
        <f>VLOOKUP(B624,'Costo de Materiales'!B$4:D$350,3,FALSE)</f>
        <v>0.40977800972954836</v>
      </c>
      <c r="F624" s="206">
        <f>D624*E624</f>
        <v>0.13765721907066258</v>
      </c>
      <c r="G624" s="302"/>
      <c r="H624" s="83"/>
      <c r="I624" s="53"/>
      <c r="J624" s="53"/>
      <c r="K624" s="58"/>
    </row>
    <row r="625" spans="1:11" s="3" customFormat="1" ht="12" customHeight="1" x14ac:dyDescent="0.2">
      <c r="A625" s="205"/>
      <c r="B625" s="10" t="s">
        <v>111</v>
      </c>
      <c r="C625" s="11" t="s">
        <v>11</v>
      </c>
      <c r="D625" s="11">
        <v>0.15</v>
      </c>
      <c r="E625" s="44">
        <f>SUM(F624:F624)</f>
        <v>0.13765721907066258</v>
      </c>
      <c r="F625" s="206">
        <f>D625*E625</f>
        <v>2.0648582860599386E-2</v>
      </c>
      <c r="G625" s="302"/>
      <c r="H625" s="83"/>
      <c r="I625" s="53"/>
      <c r="J625" s="53"/>
      <c r="K625" s="58"/>
    </row>
    <row r="626" spans="1:11" s="3" customFormat="1" ht="12" customHeight="1" x14ac:dyDescent="0.2">
      <c r="A626" s="205"/>
      <c r="B626" s="10" t="s">
        <v>83</v>
      </c>
      <c r="C626" s="11" t="s">
        <v>33</v>
      </c>
      <c r="D626" s="11">
        <v>0.1</v>
      </c>
      <c r="E626" s="44">
        <f>VLOOKUP(B626,'Costo de Materiales'!B$4:D$350,3,FALSE)</f>
        <v>0.84211251580157165</v>
      </c>
      <c r="F626" s="206">
        <f>D626*E626</f>
        <v>8.4211251580157173E-2</v>
      </c>
      <c r="G626" s="302"/>
      <c r="H626" s="83"/>
      <c r="I626" s="53"/>
      <c r="J626" s="53"/>
      <c r="K626" s="58"/>
    </row>
    <row r="627" spans="1:11" s="3" customFormat="1" ht="12" customHeight="1" x14ac:dyDescent="0.2">
      <c r="A627" s="205"/>
      <c r="B627" s="10" t="s">
        <v>10</v>
      </c>
      <c r="C627" s="11" t="s">
        <v>33</v>
      </c>
      <c r="D627" s="11">
        <v>0.1</v>
      </c>
      <c r="E627" s="44">
        <f>VLOOKUP(B627,'Costo de Materiales'!B$4:D$350,3,FALSE)</f>
        <v>0.35088021491732146</v>
      </c>
      <c r="F627" s="206">
        <f>D627*E627</f>
        <v>3.5088021491732145E-2</v>
      </c>
      <c r="G627" s="302"/>
      <c r="H627" s="83"/>
      <c r="I627" s="53"/>
      <c r="J627" s="53"/>
      <c r="K627" s="58"/>
    </row>
    <row r="628" spans="1:11" s="3" customFormat="1" ht="12" customHeight="1" x14ac:dyDescent="0.2">
      <c r="A628" s="205"/>
      <c r="B628" s="22" t="s">
        <v>93</v>
      </c>
      <c r="C628" s="23" t="s">
        <v>11</v>
      </c>
      <c r="D628" s="23">
        <v>0.28999999999999998</v>
      </c>
      <c r="E628" s="45">
        <f>SUM(F626:F627)</f>
        <v>0.11929927307188931</v>
      </c>
      <c r="F628" s="206">
        <f>D628*E628</f>
        <v>3.4596789190847896E-2</v>
      </c>
      <c r="G628" s="302"/>
      <c r="H628" s="83"/>
      <c r="I628" s="53"/>
      <c r="J628" s="53"/>
      <c r="K628" s="58"/>
    </row>
    <row r="629" spans="1:11" ht="12" customHeight="1" x14ac:dyDescent="0.2">
      <c r="A629" s="209">
        <v>78</v>
      </c>
      <c r="B629" s="88" t="s">
        <v>427</v>
      </c>
      <c r="C629" s="91" t="s">
        <v>38</v>
      </c>
      <c r="D629" s="91"/>
      <c r="E629" s="94"/>
      <c r="F629" s="210">
        <f>SUM(F630:F633)</f>
        <v>8.2664364296448495E-2</v>
      </c>
      <c r="G629" s="303"/>
      <c r="H629" s="83"/>
      <c r="I629" s="53"/>
      <c r="J629" s="53"/>
    </row>
    <row r="630" spans="1:11" s="3" customFormat="1" ht="12" customHeight="1" x14ac:dyDescent="0.2">
      <c r="A630" s="205"/>
      <c r="B630" s="12" t="s">
        <v>171</v>
      </c>
      <c r="C630" s="11" t="s">
        <v>38</v>
      </c>
      <c r="D630" s="11">
        <v>1.05</v>
      </c>
      <c r="E630" s="44">
        <f>VLOOKUP(B630,'Costo de Materiales'!B$4:D$350,3,FALSE)</f>
        <v>7.2249426071612097E-2</v>
      </c>
      <c r="F630" s="206">
        <f>D630*E630</f>
        <v>7.5861897375192708E-2</v>
      </c>
      <c r="G630" s="302"/>
      <c r="H630" s="83"/>
      <c r="I630" s="53"/>
      <c r="J630" s="53"/>
      <c r="K630" s="58"/>
    </row>
    <row r="631" spans="1:11" s="3" customFormat="1" ht="12" customHeight="1" x14ac:dyDescent="0.2">
      <c r="A631" s="205"/>
      <c r="B631" s="12" t="s">
        <v>111</v>
      </c>
      <c r="C631" s="11" t="s">
        <v>11</v>
      </c>
      <c r="D631" s="11">
        <v>0.03</v>
      </c>
      <c r="E631" s="44">
        <f>F630</f>
        <v>7.5861897375192708E-2</v>
      </c>
      <c r="F631" s="206">
        <f>D631*E631</f>
        <v>2.275856921255781E-3</v>
      </c>
      <c r="G631" s="302"/>
      <c r="H631" s="83"/>
      <c r="I631" s="53"/>
      <c r="J631" s="53"/>
      <c r="K631" s="58"/>
    </row>
    <row r="632" spans="1:11" s="3" customFormat="1" ht="12" customHeight="1" x14ac:dyDescent="0.2">
      <c r="A632" s="205"/>
      <c r="B632" s="12" t="s">
        <v>1</v>
      </c>
      <c r="C632" s="11" t="s">
        <v>33</v>
      </c>
      <c r="D632" s="11">
        <v>0.01</v>
      </c>
      <c r="E632" s="44">
        <f>VLOOKUP(B632,'Costo de Materiales'!B$4:D$350,3,FALSE)</f>
        <v>0.35090000000000005</v>
      </c>
      <c r="F632" s="206">
        <f>D632*E632</f>
        <v>3.5090000000000004E-3</v>
      </c>
      <c r="G632" s="302"/>
      <c r="H632" s="83"/>
      <c r="I632" s="53"/>
      <c r="J632" s="53"/>
      <c r="K632" s="58"/>
    </row>
    <row r="633" spans="1:11" s="3" customFormat="1" ht="12" customHeight="1" x14ac:dyDescent="0.2">
      <c r="A633" s="207"/>
      <c r="B633" s="26" t="s">
        <v>109</v>
      </c>
      <c r="C633" s="23" t="s">
        <v>11</v>
      </c>
      <c r="D633" s="80">
        <f>VLOOKUP(B633,'Costo de Materiales'!B$4:D$350,3,FALSE)</f>
        <v>0.28999999999999998</v>
      </c>
      <c r="E633" s="45">
        <f>F632</f>
        <v>3.5090000000000004E-3</v>
      </c>
      <c r="F633" s="208">
        <f>D633*E633</f>
        <v>1.01761E-3</v>
      </c>
      <c r="G633" s="307"/>
      <c r="H633" s="83"/>
      <c r="I633" s="53"/>
      <c r="J633" s="53"/>
      <c r="K633" s="58"/>
    </row>
    <row r="634" spans="1:11" ht="12" customHeight="1" x14ac:dyDescent="0.2">
      <c r="A634" s="209">
        <v>79</v>
      </c>
      <c r="B634" s="88" t="s">
        <v>426</v>
      </c>
      <c r="C634" s="91" t="s">
        <v>38</v>
      </c>
      <c r="D634" s="91"/>
      <c r="E634" s="94"/>
      <c r="F634" s="210">
        <f>SUM(F635:F638)</f>
        <v>0.14610601116230668</v>
      </c>
      <c r="G634" s="302"/>
      <c r="H634" s="83"/>
      <c r="I634" s="53"/>
      <c r="J634" s="53"/>
    </row>
    <row r="635" spans="1:11" s="3" customFormat="1" ht="12" customHeight="1" x14ac:dyDescent="0.2">
      <c r="A635" s="205"/>
      <c r="B635" s="12" t="s">
        <v>173</v>
      </c>
      <c r="C635" s="11" t="s">
        <v>38</v>
      </c>
      <c r="D635" s="11">
        <v>1.05</v>
      </c>
      <c r="E635" s="44">
        <f>VLOOKUP(B635,'Costo de Materiales'!B$4:D$350,3,FALSE)</f>
        <v>0.13091021836551703</v>
      </c>
      <c r="F635" s="206">
        <f>D635*E635</f>
        <v>0.13745572928379288</v>
      </c>
      <c r="G635" s="302"/>
      <c r="H635" s="83"/>
      <c r="I635" s="53"/>
      <c r="J635" s="53"/>
      <c r="K635" s="58"/>
    </row>
    <row r="636" spans="1:11" s="3" customFormat="1" ht="12" customHeight="1" x14ac:dyDescent="0.2">
      <c r="A636" s="205"/>
      <c r="B636" s="12" t="s">
        <v>111</v>
      </c>
      <c r="C636" s="11" t="s">
        <v>11</v>
      </c>
      <c r="D636" s="11">
        <v>0.03</v>
      </c>
      <c r="E636" s="44">
        <f>F635</f>
        <v>0.13745572928379288</v>
      </c>
      <c r="F636" s="206">
        <f>D636*E636</f>
        <v>4.1236718785137858E-3</v>
      </c>
      <c r="G636" s="302"/>
      <c r="H636" s="83"/>
      <c r="I636" s="53"/>
      <c r="J636" s="53"/>
      <c r="K636" s="58"/>
    </row>
    <row r="637" spans="1:11" s="3" customFormat="1" ht="12" customHeight="1" x14ac:dyDescent="0.2">
      <c r="A637" s="205"/>
      <c r="B637" s="12" t="s">
        <v>1</v>
      </c>
      <c r="C637" s="11" t="s">
        <v>33</v>
      </c>
      <c r="D637" s="11">
        <v>0.01</v>
      </c>
      <c r="E637" s="44">
        <f>VLOOKUP(B637,'Costo de Materiales'!B$4:D$350,3,FALSE)</f>
        <v>0.35090000000000005</v>
      </c>
      <c r="F637" s="206">
        <f>D637*E637</f>
        <v>3.5090000000000004E-3</v>
      </c>
      <c r="G637" s="302"/>
      <c r="H637" s="83"/>
      <c r="I637" s="53"/>
      <c r="J637" s="53"/>
      <c r="K637" s="58"/>
    </row>
    <row r="638" spans="1:11" s="3" customFormat="1" ht="12" customHeight="1" x14ac:dyDescent="0.2">
      <c r="A638" s="207"/>
      <c r="B638" s="26" t="s">
        <v>109</v>
      </c>
      <c r="C638" s="23" t="s">
        <v>11</v>
      </c>
      <c r="D638" s="80">
        <f>VLOOKUP(B638,'Costo de Materiales'!B$4:D$350,3,FALSE)</f>
        <v>0.28999999999999998</v>
      </c>
      <c r="E638" s="45">
        <f>F637</f>
        <v>3.5090000000000004E-3</v>
      </c>
      <c r="F638" s="208">
        <f>D638*E638</f>
        <v>1.01761E-3</v>
      </c>
      <c r="G638" s="302"/>
      <c r="H638" s="83"/>
      <c r="I638" s="53"/>
      <c r="J638" s="53"/>
      <c r="K638" s="58"/>
    </row>
    <row r="639" spans="1:11" ht="12" customHeight="1" x14ac:dyDescent="0.2">
      <c r="A639" s="209">
        <v>80</v>
      </c>
      <c r="B639" s="88" t="s">
        <v>425</v>
      </c>
      <c r="C639" s="91" t="s">
        <v>38</v>
      </c>
      <c r="D639" s="91"/>
      <c r="E639" s="94"/>
      <c r="F639" s="210">
        <f>SUM(F640:F643)</f>
        <v>0.16075037173574702</v>
      </c>
      <c r="G639" s="303"/>
      <c r="H639" s="83"/>
      <c r="I639" s="53"/>
      <c r="J639" s="53"/>
    </row>
    <row r="640" spans="1:11" s="3" customFormat="1" ht="12" customHeight="1" x14ac:dyDescent="0.2">
      <c r="A640" s="205"/>
      <c r="B640" s="12" t="s">
        <v>172</v>
      </c>
      <c r="C640" s="11" t="s">
        <v>38</v>
      </c>
      <c r="D640" s="11">
        <v>1.05</v>
      </c>
      <c r="E640" s="44">
        <f>VLOOKUP(B640,'Costo de Materiales'!B$4:D$350,3,FALSE)</f>
        <v>0.14445100484119003</v>
      </c>
      <c r="F640" s="206">
        <f>D640*E640</f>
        <v>0.15167355508324953</v>
      </c>
      <c r="G640" s="302"/>
      <c r="H640" s="83"/>
      <c r="I640" s="53"/>
      <c r="J640" s="53"/>
      <c r="K640" s="58"/>
    </row>
    <row r="641" spans="1:11" s="3" customFormat="1" ht="12" customHeight="1" x14ac:dyDescent="0.2">
      <c r="A641" s="205"/>
      <c r="B641" s="12" t="s">
        <v>111</v>
      </c>
      <c r="C641" s="11" t="s">
        <v>11</v>
      </c>
      <c r="D641" s="11">
        <v>0.03</v>
      </c>
      <c r="E641" s="44">
        <f>F640</f>
        <v>0.15167355508324953</v>
      </c>
      <c r="F641" s="206">
        <f>D641*E641</f>
        <v>4.5502066524974859E-3</v>
      </c>
      <c r="G641" s="302"/>
      <c r="H641" s="83"/>
      <c r="I641" s="53"/>
      <c r="J641" s="53"/>
      <c r="K641" s="58"/>
    </row>
    <row r="642" spans="1:11" s="3" customFormat="1" ht="12" customHeight="1" x14ac:dyDescent="0.2">
      <c r="A642" s="205"/>
      <c r="B642" s="12" t="s">
        <v>1</v>
      </c>
      <c r="C642" s="11" t="s">
        <v>33</v>
      </c>
      <c r="D642" s="11">
        <v>0.01</v>
      </c>
      <c r="E642" s="44">
        <f>VLOOKUP(B642,'Costo de Materiales'!B$4:D$350,3,FALSE)</f>
        <v>0.35090000000000005</v>
      </c>
      <c r="F642" s="206">
        <f>D642*E642</f>
        <v>3.5090000000000004E-3</v>
      </c>
      <c r="G642" s="302"/>
      <c r="H642" s="83"/>
      <c r="I642" s="53"/>
      <c r="J642" s="53"/>
      <c r="K642" s="58"/>
    </row>
    <row r="643" spans="1:11" s="3" customFormat="1" ht="12" customHeight="1" x14ac:dyDescent="0.2">
      <c r="A643" s="207"/>
      <c r="B643" s="26" t="s">
        <v>109</v>
      </c>
      <c r="C643" s="23" t="s">
        <v>11</v>
      </c>
      <c r="D643" s="80">
        <f>VLOOKUP(B643,'Costo de Materiales'!B$4:D$350,3,FALSE)</f>
        <v>0.28999999999999998</v>
      </c>
      <c r="E643" s="45">
        <f>F642</f>
        <v>3.5090000000000004E-3</v>
      </c>
      <c r="F643" s="208">
        <f>D643*E643</f>
        <v>1.01761E-3</v>
      </c>
      <c r="G643" s="307"/>
      <c r="H643" s="83"/>
      <c r="I643" s="53"/>
      <c r="J643" s="53"/>
      <c r="K643" s="58"/>
    </row>
    <row r="644" spans="1:11" s="14" customFormat="1" ht="12" customHeight="1" x14ac:dyDescent="0.2">
      <c r="A644" s="209">
        <v>81</v>
      </c>
      <c r="B644" s="93" t="s">
        <v>424</v>
      </c>
      <c r="C644" s="95" t="s">
        <v>17</v>
      </c>
      <c r="D644" s="95"/>
      <c r="E644" s="94"/>
      <c r="F644" s="210">
        <f>SUM(F645:F650)</f>
        <v>0.44831324471256484</v>
      </c>
      <c r="G644" s="302"/>
      <c r="H644" s="83"/>
      <c r="I644" s="53"/>
      <c r="J644" s="53"/>
      <c r="K644" s="63"/>
    </row>
    <row r="645" spans="1:11" s="41" customFormat="1" ht="12" customHeight="1" x14ac:dyDescent="0.2">
      <c r="A645" s="205"/>
      <c r="B645" s="15" t="s">
        <v>422</v>
      </c>
      <c r="C645" s="21" t="s">
        <v>6</v>
      </c>
      <c r="D645" s="20">
        <v>0.1</v>
      </c>
      <c r="E645" s="44">
        <f>F338</f>
        <v>0.19399728650332876</v>
      </c>
      <c r="F645" s="206">
        <f t="shared" ref="F645:F650" si="58">D645*E645</f>
        <v>1.9399728650332876E-2</v>
      </c>
      <c r="G645" s="302"/>
      <c r="H645" s="83"/>
      <c r="I645" s="53"/>
      <c r="J645" s="53"/>
      <c r="K645" s="66"/>
    </row>
    <row r="646" spans="1:11" s="41" customFormat="1" ht="12" customHeight="1" x14ac:dyDescent="0.2">
      <c r="A646" s="205"/>
      <c r="B646" s="15" t="s">
        <v>423</v>
      </c>
      <c r="C646" s="21" t="s">
        <v>6</v>
      </c>
      <c r="D646" s="20">
        <v>0.1</v>
      </c>
      <c r="E646" s="44">
        <f>F412</f>
        <v>1.7525592273008805</v>
      </c>
      <c r="F646" s="206">
        <f t="shared" si="58"/>
        <v>0.17525592273008805</v>
      </c>
      <c r="G646" s="302"/>
      <c r="H646" s="83"/>
      <c r="I646" s="53"/>
      <c r="J646" s="53"/>
      <c r="K646" s="66"/>
    </row>
    <row r="647" spans="1:11" s="41" customFormat="1" ht="12" customHeight="1" x14ac:dyDescent="0.2">
      <c r="A647" s="205"/>
      <c r="B647" s="12" t="s">
        <v>111</v>
      </c>
      <c r="C647" s="11" t="s">
        <v>11</v>
      </c>
      <c r="D647" s="11">
        <v>0.03</v>
      </c>
      <c r="E647" s="44">
        <f>SUM(F645:F646)</f>
        <v>0.19465565138042093</v>
      </c>
      <c r="F647" s="206">
        <f t="shared" si="58"/>
        <v>5.8396695414126279E-3</v>
      </c>
      <c r="G647" s="302"/>
      <c r="H647" s="83"/>
      <c r="I647" s="53"/>
      <c r="J647" s="53"/>
      <c r="K647" s="66"/>
    </row>
    <row r="648" spans="1:11" s="41" customFormat="1" ht="12" customHeight="1" x14ac:dyDescent="0.2">
      <c r="A648" s="205"/>
      <c r="B648" s="15" t="s">
        <v>96</v>
      </c>
      <c r="C648" s="20" t="s">
        <v>33</v>
      </c>
      <c r="D648" s="20">
        <v>0.15</v>
      </c>
      <c r="E648" s="44">
        <f>VLOOKUP(B648,'Costo de Materiales'!B$4:D$350,3,FALSE)</f>
        <v>0.92983256953090243</v>
      </c>
      <c r="F648" s="206">
        <f t="shared" si="58"/>
        <v>0.13947488542963535</v>
      </c>
      <c r="G648" s="302"/>
      <c r="H648" s="83"/>
      <c r="I648" s="53"/>
      <c r="J648" s="53"/>
      <c r="K648" s="66"/>
    </row>
    <row r="649" spans="1:11" s="41" customFormat="1" ht="12" customHeight="1" x14ac:dyDescent="0.2">
      <c r="A649" s="205"/>
      <c r="B649" s="15" t="s">
        <v>10</v>
      </c>
      <c r="C649" s="20" t="s">
        <v>33</v>
      </c>
      <c r="D649" s="20">
        <v>0.15</v>
      </c>
      <c r="E649" s="44">
        <f>VLOOKUP(B649,'Costo de Materiales'!B$4:D$350,3,FALSE)</f>
        <v>0.35088021491732146</v>
      </c>
      <c r="F649" s="206">
        <f t="shared" si="58"/>
        <v>5.2632032237598221E-2</v>
      </c>
      <c r="G649" s="302"/>
      <c r="H649" s="83"/>
      <c r="I649" s="53"/>
      <c r="J649" s="53"/>
      <c r="K649" s="66"/>
    </row>
    <row r="650" spans="1:11" s="41" customFormat="1" ht="12" customHeight="1" x14ac:dyDescent="0.2">
      <c r="A650" s="207"/>
      <c r="B650" s="27" t="s">
        <v>109</v>
      </c>
      <c r="C650" s="28" t="s">
        <v>11</v>
      </c>
      <c r="D650" s="80">
        <f>VLOOKUP(B650,'Costo de Materiales'!B$4:D$350,3,FALSE)</f>
        <v>0.28999999999999998</v>
      </c>
      <c r="E650" s="45">
        <f>SUM(F648:F649)</f>
        <v>0.19210691766723356</v>
      </c>
      <c r="F650" s="208">
        <f t="shared" si="58"/>
        <v>5.5711006123497726E-2</v>
      </c>
      <c r="G650" s="302"/>
      <c r="H650" s="83"/>
      <c r="I650" s="53"/>
      <c r="J650" s="53"/>
      <c r="K650" s="66"/>
    </row>
    <row r="651" spans="1:11" s="41" customFormat="1" ht="12" customHeight="1" x14ac:dyDescent="0.2">
      <c r="A651" s="209">
        <v>82</v>
      </c>
      <c r="B651" s="93" t="s">
        <v>406</v>
      </c>
      <c r="C651" s="91" t="s">
        <v>38</v>
      </c>
      <c r="D651" s="95"/>
      <c r="E651" s="92"/>
      <c r="F651" s="210">
        <f>SUM(F652:F658)</f>
        <v>0.35752717615220769</v>
      </c>
      <c r="G651" s="303"/>
      <c r="H651" s="83"/>
      <c r="I651" s="53"/>
      <c r="J651" s="53"/>
      <c r="K651" s="66"/>
    </row>
    <row r="652" spans="1:11" s="41" customFormat="1" ht="12" customHeight="1" x14ac:dyDescent="0.2">
      <c r="A652" s="205"/>
      <c r="B652" s="15" t="s">
        <v>501</v>
      </c>
      <c r="C652" s="11" t="s">
        <v>6</v>
      </c>
      <c r="D652" s="20">
        <v>0.08</v>
      </c>
      <c r="E652" s="44">
        <f>F397</f>
        <v>1.7355862581556918</v>
      </c>
      <c r="F652" s="206">
        <f>D652*E652</f>
        <v>0.13884690065245534</v>
      </c>
      <c r="G652" s="302"/>
      <c r="H652" s="83"/>
      <c r="I652" s="53"/>
      <c r="J652" s="53"/>
      <c r="K652" s="66"/>
    </row>
    <row r="653" spans="1:11" s="41" customFormat="1" ht="12" customHeight="1" x14ac:dyDescent="0.2">
      <c r="A653" s="205"/>
      <c r="B653" s="15" t="s">
        <v>407</v>
      </c>
      <c r="C653" s="20" t="s">
        <v>19</v>
      </c>
      <c r="D653" s="20">
        <v>0.1</v>
      </c>
      <c r="E653" s="44">
        <f>VLOOKUP(B653,'Costo de Materiales'!B$4:D$350,3,FALSE)</f>
        <v>0.27560045971687797</v>
      </c>
      <c r="F653" s="206">
        <f t="shared" ref="F653:F658" si="59">D653*E653</f>
        <v>2.7560045971687798E-2</v>
      </c>
      <c r="G653" s="302"/>
      <c r="H653" s="83"/>
      <c r="I653" s="53"/>
      <c r="J653" s="53"/>
      <c r="K653" s="66"/>
    </row>
    <row r="654" spans="1:11" s="41" customFormat="1" ht="12" customHeight="1" x14ac:dyDescent="0.2">
      <c r="A654" s="205"/>
      <c r="B654" s="12" t="s">
        <v>408</v>
      </c>
      <c r="C654" s="20" t="s">
        <v>568</v>
      </c>
      <c r="D654" s="20">
        <v>1</v>
      </c>
      <c r="E654" s="44">
        <f>F109</f>
        <v>4.5070900726085501E-2</v>
      </c>
      <c r="F654" s="206">
        <f t="shared" si="59"/>
        <v>4.5070900726085501E-2</v>
      </c>
      <c r="G654" s="302"/>
      <c r="H654" s="83"/>
      <c r="I654" s="53"/>
      <c r="J654" s="53"/>
      <c r="K654" s="66"/>
    </row>
    <row r="655" spans="1:11" s="41" customFormat="1" ht="12" customHeight="1" x14ac:dyDescent="0.2">
      <c r="A655" s="205"/>
      <c r="B655" s="15" t="s">
        <v>111</v>
      </c>
      <c r="C655" s="20" t="s">
        <v>11</v>
      </c>
      <c r="D655" s="20">
        <v>0.3</v>
      </c>
      <c r="E655" s="44">
        <f>SUM(F652:F654)</f>
        <v>0.21147784735022862</v>
      </c>
      <c r="F655" s="206">
        <f>D655*E655</f>
        <v>6.3443354205068581E-2</v>
      </c>
      <c r="G655" s="302"/>
      <c r="H655" s="83"/>
      <c r="I655" s="53"/>
      <c r="J655" s="53"/>
      <c r="K655" s="66"/>
    </row>
    <row r="656" spans="1:11" s="41" customFormat="1" ht="12" customHeight="1" x14ac:dyDescent="0.2">
      <c r="A656" s="205"/>
      <c r="B656" s="15" t="s">
        <v>96</v>
      </c>
      <c r="C656" s="20" t="s">
        <v>33</v>
      </c>
      <c r="D656" s="20">
        <v>0.05</v>
      </c>
      <c r="E656" s="44">
        <f>VLOOKUP(B656,'Costo de Materiales'!B$4:D$350,3,FALSE)</f>
        <v>0.92983256953090243</v>
      </c>
      <c r="F656" s="206">
        <f t="shared" si="59"/>
        <v>4.6491628476545123E-2</v>
      </c>
      <c r="G656" s="302"/>
      <c r="H656" s="83"/>
      <c r="I656" s="53"/>
      <c r="J656" s="53"/>
      <c r="K656" s="66"/>
    </row>
    <row r="657" spans="1:11" s="41" customFormat="1" ht="12" customHeight="1" x14ac:dyDescent="0.2">
      <c r="A657" s="205"/>
      <c r="B657" s="15" t="s">
        <v>10</v>
      </c>
      <c r="C657" s="20" t="s">
        <v>33</v>
      </c>
      <c r="D657" s="20">
        <v>0.05</v>
      </c>
      <c r="E657" s="44">
        <f>VLOOKUP(B657,'Costo de Materiales'!B$4:D$350,3,FALSE)</f>
        <v>0.35088021491732146</v>
      </c>
      <c r="F657" s="206">
        <f t="shared" si="59"/>
        <v>1.7544010745866073E-2</v>
      </c>
      <c r="G657" s="302"/>
      <c r="H657" s="83"/>
      <c r="I657" s="53"/>
      <c r="J657" s="53"/>
      <c r="K657" s="66"/>
    </row>
    <row r="658" spans="1:11" s="41" customFormat="1" ht="12" customHeight="1" x14ac:dyDescent="0.2">
      <c r="A658" s="207"/>
      <c r="B658" s="27" t="s">
        <v>93</v>
      </c>
      <c r="C658" s="28" t="s">
        <v>11</v>
      </c>
      <c r="D658" s="80">
        <f>VLOOKUP(B658,'Costo de Materiales'!B$4:D$350,3,FALSE)</f>
        <v>0.28999999999999998</v>
      </c>
      <c r="E658" s="45">
        <f>SUM(F656:F657)</f>
        <v>6.4035639222411192E-2</v>
      </c>
      <c r="F658" s="208">
        <f t="shared" si="59"/>
        <v>1.8570335374499244E-2</v>
      </c>
      <c r="G658" s="307"/>
      <c r="H658" s="83"/>
      <c r="I658" s="53"/>
      <c r="J658" s="53"/>
      <c r="K658" s="66"/>
    </row>
    <row r="659" spans="1:11" ht="12" customHeight="1" x14ac:dyDescent="0.2">
      <c r="A659" s="213">
        <v>83</v>
      </c>
      <c r="B659" s="88" t="s">
        <v>153</v>
      </c>
      <c r="C659" s="91" t="s">
        <v>6</v>
      </c>
      <c r="D659" s="91"/>
      <c r="E659" s="92"/>
      <c r="F659" s="210">
        <f>SUM(F660:F664)</f>
        <v>0.44075146033369683</v>
      </c>
      <c r="G659" s="302"/>
      <c r="H659" s="83"/>
      <c r="I659" s="53"/>
      <c r="J659" s="53"/>
    </row>
    <row r="660" spans="1:11" s="3" customFormat="1" ht="12" customHeight="1" x14ac:dyDescent="0.2">
      <c r="A660" s="214"/>
      <c r="B660" s="12" t="s">
        <v>4</v>
      </c>
      <c r="C660" s="11" t="s">
        <v>6</v>
      </c>
      <c r="D660" s="11">
        <v>1.3</v>
      </c>
      <c r="E660" s="44">
        <f>VLOOKUP(B660,'Costo de Materiales'!B$4:D$350,3,FALSE)</f>
        <v>0.26134196371069224</v>
      </c>
      <c r="F660" s="206">
        <f>D660*E660</f>
        <v>0.33974455282389993</v>
      </c>
      <c r="G660" s="302"/>
      <c r="H660" s="83"/>
      <c r="I660" s="53"/>
      <c r="J660" s="53"/>
      <c r="K660" s="58"/>
    </row>
    <row r="661" spans="1:11" s="3" customFormat="1" ht="12" customHeight="1" x14ac:dyDescent="0.2">
      <c r="A661" s="214"/>
      <c r="B661" s="12" t="s">
        <v>32</v>
      </c>
      <c r="C661" s="11" t="s">
        <v>20</v>
      </c>
      <c r="D661" s="11">
        <v>0.5</v>
      </c>
      <c r="E661" s="44">
        <f>VLOOKUP(B661,'Costo de Materiales'!B$4:D$350,3,FALSE)</f>
        <v>3.0395519188831519E-2</v>
      </c>
      <c r="F661" s="206">
        <f>D661*E661</f>
        <v>1.519775959441576E-2</v>
      </c>
      <c r="G661" s="302"/>
      <c r="H661" s="83"/>
      <c r="I661" s="53"/>
      <c r="J661" s="53"/>
      <c r="K661" s="58"/>
    </row>
    <row r="662" spans="1:11" s="3" customFormat="1" ht="12" customHeight="1" x14ac:dyDescent="0.2">
      <c r="A662" s="214"/>
      <c r="B662" s="12" t="s">
        <v>5</v>
      </c>
      <c r="C662" s="11" t="s">
        <v>650</v>
      </c>
      <c r="D662" s="11">
        <v>0.1</v>
      </c>
      <c r="E662" s="44">
        <f>VLOOKUP(B662,'Costo de Materiales'!B$4:D$350,3,FALSE)</f>
        <v>0.2153128591538109</v>
      </c>
      <c r="F662" s="206">
        <f>D662*E662</f>
        <v>2.1531285915381091E-2</v>
      </c>
      <c r="G662" s="302"/>
      <c r="H662" s="83"/>
      <c r="I662" s="53"/>
      <c r="J662" s="53"/>
      <c r="K662" s="58"/>
    </row>
    <row r="663" spans="1:11" s="3" customFormat="1" ht="12" customHeight="1" x14ac:dyDescent="0.2">
      <c r="A663" s="214"/>
      <c r="B663" s="12" t="s">
        <v>1</v>
      </c>
      <c r="C663" s="11" t="s">
        <v>33</v>
      </c>
      <c r="D663" s="11">
        <v>0.14199999999999999</v>
      </c>
      <c r="E663" s="44">
        <f>VLOOKUP(B663,'Costo de Materiales'!B$4:D$350,3,FALSE)</f>
        <v>0.35090000000000005</v>
      </c>
      <c r="F663" s="206">
        <f>D663*E663</f>
        <v>4.9827800000000005E-2</v>
      </c>
      <c r="G663" s="302"/>
      <c r="H663" s="83"/>
      <c r="I663" s="53"/>
      <c r="J663" s="53"/>
      <c r="K663" s="58"/>
    </row>
    <row r="664" spans="1:11" s="3" customFormat="1" ht="12" customHeight="1" x14ac:dyDescent="0.2">
      <c r="A664" s="215"/>
      <c r="B664" s="26" t="s">
        <v>109</v>
      </c>
      <c r="C664" s="23" t="s">
        <v>11</v>
      </c>
      <c r="D664" s="80">
        <f>VLOOKUP(B664,'Costo de Materiales'!B$4:D$350,3,FALSE)</f>
        <v>0.28999999999999998</v>
      </c>
      <c r="E664" s="45">
        <f>F663</f>
        <v>4.9827800000000005E-2</v>
      </c>
      <c r="F664" s="208">
        <f>D664*E664</f>
        <v>1.4450062000000001E-2</v>
      </c>
      <c r="G664" s="302"/>
      <c r="H664" s="83"/>
      <c r="I664" s="53"/>
      <c r="J664" s="53"/>
      <c r="K664" s="58"/>
    </row>
    <row r="665" spans="1:11" ht="12" customHeight="1" x14ac:dyDescent="0.2">
      <c r="A665" s="220">
        <v>84</v>
      </c>
      <c r="B665" s="101" t="s">
        <v>222</v>
      </c>
      <c r="C665" s="102" t="s">
        <v>568</v>
      </c>
      <c r="D665" s="88"/>
      <c r="E665" s="92"/>
      <c r="F665" s="210">
        <f>SUM(F666:F672)</f>
        <v>0.10386978429662938</v>
      </c>
      <c r="G665" s="303"/>
      <c r="H665" s="83"/>
      <c r="I665" s="53"/>
      <c r="J665" s="53"/>
    </row>
    <row r="666" spans="1:11" s="3" customFormat="1" ht="12" customHeight="1" x14ac:dyDescent="0.2">
      <c r="A666" s="221"/>
      <c r="B666" s="17" t="s">
        <v>283</v>
      </c>
      <c r="C666" s="11" t="s">
        <v>17</v>
      </c>
      <c r="D666" s="11">
        <v>0.3</v>
      </c>
      <c r="E666" s="44">
        <f>VLOOKUP(B666,'Costo de Materiales'!B$4:D$350,3,FALSE)</f>
        <v>3.1770608550695655E-2</v>
      </c>
      <c r="F666" s="206">
        <f t="shared" ref="F666:F672" si="60">D666*E666</f>
        <v>9.5311825652086967E-3</v>
      </c>
      <c r="G666" s="302"/>
      <c r="H666" s="83"/>
      <c r="I666" s="53"/>
      <c r="J666" s="53"/>
      <c r="K666" s="58"/>
    </row>
    <row r="667" spans="1:11" s="3" customFormat="1" ht="12" customHeight="1" x14ac:dyDescent="0.2">
      <c r="A667" s="221"/>
      <c r="B667" s="17" t="s">
        <v>289</v>
      </c>
      <c r="C667" s="11" t="s">
        <v>17</v>
      </c>
      <c r="D667" s="11">
        <v>0.5</v>
      </c>
      <c r="E667" s="44">
        <f>VLOOKUP(B667,'Costo de Materiales'!B$4:D$350,3,FALSE)</f>
        <v>7.1483869239065218E-2</v>
      </c>
      <c r="F667" s="206">
        <f t="shared" si="60"/>
        <v>3.5741934619532609E-2</v>
      </c>
      <c r="G667" s="302"/>
      <c r="H667" s="83"/>
      <c r="I667" s="53"/>
      <c r="J667" s="53"/>
      <c r="K667" s="58"/>
    </row>
    <row r="668" spans="1:11" s="3" customFormat="1" ht="12" customHeight="1" x14ac:dyDescent="0.2">
      <c r="A668" s="221"/>
      <c r="B668" s="17" t="s">
        <v>0</v>
      </c>
      <c r="C668" s="11" t="s">
        <v>18</v>
      </c>
      <c r="D668" s="11">
        <v>0.08</v>
      </c>
      <c r="E668" s="44">
        <f>VLOOKUP(B668,'Costo de Materiales'!B$4:D$350,3,FALSE)</f>
        <v>4.7054108963486233E-2</v>
      </c>
      <c r="F668" s="206">
        <f t="shared" si="60"/>
        <v>3.7643287170788988E-3</v>
      </c>
      <c r="G668" s="302"/>
      <c r="H668" s="83"/>
      <c r="I668" s="53"/>
      <c r="J668" s="53"/>
      <c r="K668" s="58"/>
    </row>
    <row r="669" spans="1:11" s="3" customFormat="1" ht="12" customHeight="1" x14ac:dyDescent="0.2">
      <c r="A669" s="221"/>
      <c r="B669" s="12" t="s">
        <v>73</v>
      </c>
      <c r="C669" s="11" t="s">
        <v>18</v>
      </c>
      <c r="D669" s="11">
        <v>0.1</v>
      </c>
      <c r="E669" s="44">
        <f>VLOOKUP(B669,'Costo de Materiales'!B$4:D$350,3,FALSE)</f>
        <v>5.26798795396324E-2</v>
      </c>
      <c r="F669" s="206">
        <f t="shared" si="60"/>
        <v>5.26798795396324E-3</v>
      </c>
      <c r="G669" s="302"/>
      <c r="H669" s="83"/>
      <c r="I669" s="53"/>
      <c r="J669" s="53"/>
      <c r="K669" s="58"/>
    </row>
    <row r="670" spans="1:11" s="3" customFormat="1" ht="12" customHeight="1" x14ac:dyDescent="0.2">
      <c r="A670" s="221"/>
      <c r="B670" s="12" t="s">
        <v>96</v>
      </c>
      <c r="C670" s="11" t="s">
        <v>33</v>
      </c>
      <c r="D670" s="11">
        <v>0.03</v>
      </c>
      <c r="E670" s="44">
        <f>VLOOKUP(B670,'Costo de Materiales'!B$4:D$350,3,FALSE)</f>
        <v>0.92983256953090243</v>
      </c>
      <c r="F670" s="206">
        <f t="shared" si="60"/>
        <v>2.7894977085927072E-2</v>
      </c>
      <c r="G670" s="302"/>
      <c r="H670" s="83"/>
      <c r="I670" s="53"/>
      <c r="J670" s="53"/>
      <c r="K670" s="58"/>
    </row>
    <row r="671" spans="1:11" s="3" customFormat="1" ht="12" customHeight="1" x14ac:dyDescent="0.2">
      <c r="A671" s="221"/>
      <c r="B671" s="17" t="s">
        <v>1</v>
      </c>
      <c r="C671" s="11" t="s">
        <v>33</v>
      </c>
      <c r="D671" s="11">
        <v>0.03</v>
      </c>
      <c r="E671" s="44">
        <f>VLOOKUP(B671,'Costo de Materiales'!B$4:D$350,3,FALSE)</f>
        <v>0.35090000000000005</v>
      </c>
      <c r="F671" s="206">
        <f t="shared" si="60"/>
        <v>1.0527000000000002E-2</v>
      </c>
      <c r="G671" s="302"/>
      <c r="H671" s="83"/>
      <c r="I671" s="53"/>
      <c r="J671" s="53"/>
      <c r="K671" s="58"/>
    </row>
    <row r="672" spans="1:11" s="3" customFormat="1" ht="12" customHeight="1" x14ac:dyDescent="0.2">
      <c r="A672" s="222"/>
      <c r="B672" s="26" t="s">
        <v>93</v>
      </c>
      <c r="C672" s="23" t="s">
        <v>11</v>
      </c>
      <c r="D672" s="80">
        <f>VLOOKUP(B672,'Costo de Materiales'!B$4:D$350,3,FALSE)</f>
        <v>0.28999999999999998</v>
      </c>
      <c r="E672" s="45">
        <f>SUM(F670:F671)</f>
        <v>3.8421977085927074E-2</v>
      </c>
      <c r="F672" s="206">
        <f t="shared" si="60"/>
        <v>1.114237335491885E-2</v>
      </c>
      <c r="G672" s="307"/>
      <c r="H672" s="83"/>
      <c r="I672" s="53"/>
      <c r="J672" s="53"/>
      <c r="K672" s="58"/>
    </row>
    <row r="673" spans="1:11" s="3" customFormat="1" ht="12" customHeight="1" x14ac:dyDescent="0.2">
      <c r="A673" s="220">
        <v>85</v>
      </c>
      <c r="B673" s="93" t="s">
        <v>384</v>
      </c>
      <c r="C673" s="91" t="s">
        <v>38</v>
      </c>
      <c r="D673" s="95"/>
      <c r="E673" s="92"/>
      <c r="F673" s="210">
        <f>SUM(F674:F676)</f>
        <v>5.6318316314762529E-2</v>
      </c>
      <c r="G673" s="302"/>
      <c r="H673" s="83"/>
      <c r="I673" s="53"/>
      <c r="J673" s="53"/>
      <c r="K673" s="58"/>
    </row>
    <row r="674" spans="1:11" s="3" customFormat="1" ht="12" customHeight="1" x14ac:dyDescent="0.2">
      <c r="A674" s="231"/>
      <c r="B674" s="12" t="s">
        <v>99</v>
      </c>
      <c r="C674" s="11" t="s">
        <v>6</v>
      </c>
      <c r="D674" s="20">
        <v>0.1</v>
      </c>
      <c r="E674" s="44">
        <f>VLOOKUP(B674,'Costo de Materiales'!B$4:D$350,3,FALSE)</f>
        <v>0.2010543631476252</v>
      </c>
      <c r="F674" s="206">
        <f>D674*E674</f>
        <v>2.0105436314762522E-2</v>
      </c>
      <c r="G674" s="302"/>
      <c r="H674" s="83"/>
      <c r="I674" s="53"/>
      <c r="J674" s="53"/>
      <c r="K674" s="58"/>
    </row>
    <row r="675" spans="1:11" s="3" customFormat="1" ht="12" customHeight="1" x14ac:dyDescent="0.2">
      <c r="A675" s="221"/>
      <c r="B675" s="15" t="s">
        <v>1</v>
      </c>
      <c r="C675" s="11" t="s">
        <v>33</v>
      </c>
      <c r="D675" s="20">
        <v>0.08</v>
      </c>
      <c r="E675" s="44">
        <f>VLOOKUP(B675,'Costo de Materiales'!B$4:D$350,3,FALSE)</f>
        <v>0.35090000000000005</v>
      </c>
      <c r="F675" s="206">
        <f>D675*E675</f>
        <v>2.8072000000000003E-2</v>
      </c>
      <c r="G675" s="302"/>
      <c r="H675" s="83"/>
      <c r="I675" s="53"/>
      <c r="J675" s="53"/>
      <c r="K675" s="58"/>
    </row>
    <row r="676" spans="1:11" s="3" customFormat="1" ht="12" customHeight="1" x14ac:dyDescent="0.2">
      <c r="A676" s="222"/>
      <c r="B676" s="27" t="s">
        <v>93</v>
      </c>
      <c r="C676" s="28" t="s">
        <v>11</v>
      </c>
      <c r="D676" s="80">
        <f>VLOOKUP(B676,'Costo de Materiales'!B$4:D$350,3,FALSE)</f>
        <v>0.28999999999999998</v>
      </c>
      <c r="E676" s="45">
        <f>F675</f>
        <v>2.8072000000000003E-2</v>
      </c>
      <c r="F676" s="208">
        <f>D676*E676</f>
        <v>8.1408799999999996E-3</v>
      </c>
      <c r="G676" s="302"/>
      <c r="H676" s="83"/>
      <c r="I676" s="53"/>
      <c r="J676" s="53"/>
      <c r="K676" s="58"/>
    </row>
    <row r="677" spans="1:11" s="41" customFormat="1" ht="12" customHeight="1" x14ac:dyDescent="0.2">
      <c r="A677" s="220">
        <v>86</v>
      </c>
      <c r="B677" s="93" t="s">
        <v>415</v>
      </c>
      <c r="C677" s="91" t="s">
        <v>38</v>
      </c>
      <c r="D677" s="95"/>
      <c r="E677" s="92"/>
      <c r="F677" s="210">
        <f>SUM(F678:F682)</f>
        <v>0.10103432723739228</v>
      </c>
      <c r="G677" s="303"/>
      <c r="H677" s="83"/>
      <c r="I677" s="53"/>
      <c r="J677" s="53"/>
      <c r="K677" s="66"/>
    </row>
    <row r="678" spans="1:11" s="41" customFormat="1" ht="12" customHeight="1" x14ac:dyDescent="0.2">
      <c r="A678" s="221"/>
      <c r="B678" s="15" t="s">
        <v>139</v>
      </c>
      <c r="C678" s="21" t="s">
        <v>650</v>
      </c>
      <c r="D678" s="29">
        <v>0.125</v>
      </c>
      <c r="E678" s="49">
        <f>VLOOKUP(B678,'Costo de Materiales'!B$4:D$350,3,FALSE)</f>
        <v>0.48254004101470732</v>
      </c>
      <c r="F678" s="217">
        <f>D678*E678</f>
        <v>6.0317505126838415E-2</v>
      </c>
      <c r="G678" s="302"/>
      <c r="H678" s="83"/>
      <c r="I678" s="53"/>
      <c r="J678" s="53"/>
      <c r="K678" s="66"/>
    </row>
    <row r="679" spans="1:11" s="41" customFormat="1" ht="12" customHeight="1" x14ac:dyDescent="0.2">
      <c r="A679" s="221"/>
      <c r="B679" s="15" t="s">
        <v>24</v>
      </c>
      <c r="C679" s="21" t="s">
        <v>20</v>
      </c>
      <c r="D679" s="29">
        <v>0.3</v>
      </c>
      <c r="E679" s="49">
        <f>VLOOKUP(B679,'Costo de Materiales'!B$4:D$350,3,FALSE)</f>
        <v>2.343851931930439E-2</v>
      </c>
      <c r="F679" s="217">
        <f>D679*E679</f>
        <v>7.0315557957913166E-3</v>
      </c>
      <c r="G679" s="302"/>
      <c r="H679" s="83"/>
      <c r="I679" s="53"/>
      <c r="J679" s="53"/>
      <c r="K679" s="66"/>
    </row>
    <row r="680" spans="1:11" s="41" customFormat="1" ht="12" customHeight="1" x14ac:dyDescent="0.2">
      <c r="A680" s="231"/>
      <c r="B680" s="12" t="s">
        <v>99</v>
      </c>
      <c r="C680" s="11" t="s">
        <v>6</v>
      </c>
      <c r="D680" s="20">
        <v>0.1</v>
      </c>
      <c r="E680" s="44">
        <f>VLOOKUP(B680,'Costo de Materiales'!B$4:D$350,3,FALSE)</f>
        <v>0.2010543631476252</v>
      </c>
      <c r="F680" s="206">
        <f>D680*E680</f>
        <v>2.0105436314762522E-2</v>
      </c>
      <c r="G680" s="302"/>
      <c r="H680" s="83"/>
      <c r="I680" s="53"/>
      <c r="J680" s="53"/>
      <c r="K680" s="66"/>
    </row>
    <row r="681" spans="1:11" s="41" customFormat="1" ht="12" customHeight="1" x14ac:dyDescent="0.2">
      <c r="A681" s="221"/>
      <c r="B681" s="15" t="s">
        <v>1</v>
      </c>
      <c r="C681" s="11" t="s">
        <v>33</v>
      </c>
      <c r="D681" s="20">
        <v>0.03</v>
      </c>
      <c r="E681" s="44">
        <f>VLOOKUP(B681,'Costo de Materiales'!B$4:D$350,3,FALSE)</f>
        <v>0.35090000000000005</v>
      </c>
      <c r="F681" s="206">
        <f>D681*E681</f>
        <v>1.0527000000000002E-2</v>
      </c>
      <c r="G681" s="302"/>
      <c r="H681" s="83"/>
      <c r="I681" s="53"/>
      <c r="J681" s="53"/>
      <c r="K681" s="66"/>
    </row>
    <row r="682" spans="1:11" s="41" customFormat="1" ht="12" customHeight="1" x14ac:dyDescent="0.2">
      <c r="A682" s="222"/>
      <c r="B682" s="27" t="s">
        <v>93</v>
      </c>
      <c r="C682" s="28" t="s">
        <v>11</v>
      </c>
      <c r="D682" s="80">
        <f>VLOOKUP(B682,'Costo de Materiales'!B$4:D$350,3,FALSE)</f>
        <v>0.28999999999999998</v>
      </c>
      <c r="E682" s="45">
        <f>F681</f>
        <v>1.0527000000000002E-2</v>
      </c>
      <c r="F682" s="208">
        <f>D682*E682</f>
        <v>3.0528300000000003E-3</v>
      </c>
      <c r="G682" s="307"/>
      <c r="H682" s="83"/>
      <c r="I682" s="53"/>
      <c r="J682" s="53"/>
      <c r="K682" s="66"/>
    </row>
    <row r="683" spans="1:11" s="41" customFormat="1" ht="12" customHeight="1" x14ac:dyDescent="0.2">
      <c r="A683" s="220">
        <v>87</v>
      </c>
      <c r="B683" s="93" t="s">
        <v>416</v>
      </c>
      <c r="C683" s="91" t="s">
        <v>6</v>
      </c>
      <c r="D683" s="95"/>
      <c r="E683" s="92"/>
      <c r="F683" s="210">
        <f>SUM(F684:F688)</f>
        <v>0.11008754723739227</v>
      </c>
      <c r="G683" s="302"/>
      <c r="H683" s="83"/>
      <c r="I683" s="53"/>
      <c r="J683" s="53"/>
      <c r="K683" s="66"/>
    </row>
    <row r="684" spans="1:11" s="41" customFormat="1" ht="12" customHeight="1" x14ac:dyDescent="0.2">
      <c r="A684" s="221"/>
      <c r="B684" s="15" t="s">
        <v>139</v>
      </c>
      <c r="C684" s="21" t="s">
        <v>650</v>
      </c>
      <c r="D684" s="29">
        <v>0.125</v>
      </c>
      <c r="E684" s="49">
        <f>VLOOKUP(B684,'Costo de Materiales'!B$4:D$350,3,FALSE)</f>
        <v>0.48254004101470732</v>
      </c>
      <c r="F684" s="217">
        <f>D684*E684</f>
        <v>6.0317505126838415E-2</v>
      </c>
      <c r="G684" s="302"/>
      <c r="H684" s="83"/>
      <c r="I684" s="53"/>
      <c r="J684" s="53"/>
      <c r="K684" s="66"/>
    </row>
    <row r="685" spans="1:11" s="41" customFormat="1" ht="12" customHeight="1" x14ac:dyDescent="0.2">
      <c r="A685" s="221"/>
      <c r="B685" s="15" t="s">
        <v>24</v>
      </c>
      <c r="C685" s="21" t="s">
        <v>20</v>
      </c>
      <c r="D685" s="29">
        <v>0.3</v>
      </c>
      <c r="E685" s="49">
        <f>VLOOKUP(B685,'Costo de Materiales'!B$4:D$350,3,FALSE)</f>
        <v>2.343851931930439E-2</v>
      </c>
      <c r="F685" s="217">
        <f>D685*E685</f>
        <v>7.0315557957913166E-3</v>
      </c>
      <c r="G685" s="302"/>
      <c r="H685" s="83"/>
      <c r="I685" s="53"/>
      <c r="J685" s="53"/>
      <c r="K685" s="66"/>
    </row>
    <row r="686" spans="1:11" s="41" customFormat="1" ht="12" customHeight="1" x14ac:dyDescent="0.2">
      <c r="A686" s="231"/>
      <c r="B686" s="12" t="s">
        <v>99</v>
      </c>
      <c r="C686" s="11" t="s">
        <v>6</v>
      </c>
      <c r="D686" s="20">
        <v>0.1</v>
      </c>
      <c r="E686" s="44">
        <f>VLOOKUP(B686,'Costo de Materiales'!B$4:D$350,3,FALSE)</f>
        <v>0.2010543631476252</v>
      </c>
      <c r="F686" s="206">
        <f>D686*E686</f>
        <v>2.0105436314762522E-2</v>
      </c>
      <c r="G686" s="302"/>
      <c r="H686" s="83"/>
      <c r="I686" s="53"/>
      <c r="J686" s="53"/>
      <c r="K686" s="66"/>
    </row>
    <row r="687" spans="1:11" s="41" customFormat="1" ht="12" customHeight="1" x14ac:dyDescent="0.2">
      <c r="A687" s="221"/>
      <c r="B687" s="15" t="s">
        <v>1</v>
      </c>
      <c r="C687" s="11" t="s">
        <v>33</v>
      </c>
      <c r="D687" s="20">
        <v>0.05</v>
      </c>
      <c r="E687" s="44">
        <f>VLOOKUP(B687,'Costo de Materiales'!B$4:D$350,3,FALSE)</f>
        <v>0.35090000000000005</v>
      </c>
      <c r="F687" s="206">
        <f>D687*E687</f>
        <v>1.7545000000000002E-2</v>
      </c>
      <c r="G687" s="302"/>
      <c r="H687" s="83"/>
      <c r="I687" s="53"/>
      <c r="J687" s="53"/>
      <c r="K687" s="66"/>
    </row>
    <row r="688" spans="1:11" s="41" customFormat="1" ht="12" customHeight="1" x14ac:dyDescent="0.2">
      <c r="A688" s="222"/>
      <c r="B688" s="27" t="s">
        <v>93</v>
      </c>
      <c r="C688" s="28" t="s">
        <v>11</v>
      </c>
      <c r="D688" s="80">
        <f>VLOOKUP(B688,'Costo de Materiales'!B$4:D$350,3,FALSE)</f>
        <v>0.28999999999999998</v>
      </c>
      <c r="E688" s="45">
        <f>F687</f>
        <v>1.7545000000000002E-2</v>
      </c>
      <c r="F688" s="208">
        <f>D688*E688</f>
        <v>5.0880500000000002E-3</v>
      </c>
      <c r="G688" s="302"/>
      <c r="H688" s="83"/>
      <c r="I688" s="53"/>
      <c r="J688" s="53"/>
      <c r="K688" s="66"/>
    </row>
    <row r="689" spans="1:11" s="3" customFormat="1" ht="12" customHeight="1" x14ac:dyDescent="0.2">
      <c r="A689" s="220">
        <v>88</v>
      </c>
      <c r="B689" s="93" t="s">
        <v>130</v>
      </c>
      <c r="C689" s="91" t="s">
        <v>6</v>
      </c>
      <c r="D689" s="95"/>
      <c r="E689" s="100"/>
      <c r="F689" s="210">
        <f>SUM(F690:F695)</f>
        <v>0.34987985179458941</v>
      </c>
      <c r="G689" s="303"/>
      <c r="H689" s="83"/>
      <c r="I689" s="53"/>
      <c r="J689" s="53"/>
      <c r="K689" s="58"/>
    </row>
    <row r="690" spans="1:11" s="3" customFormat="1" ht="12" customHeight="1" x14ac:dyDescent="0.2">
      <c r="A690" s="221"/>
      <c r="B690" s="15" t="s">
        <v>139</v>
      </c>
      <c r="C690" s="21" t="s">
        <v>650</v>
      </c>
      <c r="D690" s="29">
        <v>0.125</v>
      </c>
      <c r="E690" s="49">
        <f>VLOOKUP(B690,'Costo de Materiales'!B$4:D$350,3,FALSE)</f>
        <v>0.48254004101470732</v>
      </c>
      <c r="F690" s="217">
        <f t="shared" ref="F690:F695" si="61">D690*E690</f>
        <v>6.0317505126838415E-2</v>
      </c>
      <c r="G690" s="302"/>
      <c r="H690" s="83"/>
      <c r="I690" s="53"/>
      <c r="J690" s="53"/>
      <c r="K690" s="58"/>
    </row>
    <row r="691" spans="1:11" s="3" customFormat="1" ht="12" customHeight="1" x14ac:dyDescent="0.2">
      <c r="A691" s="221"/>
      <c r="B691" s="15" t="s">
        <v>24</v>
      </c>
      <c r="C691" s="21" t="s">
        <v>20</v>
      </c>
      <c r="D691" s="29">
        <v>0.3</v>
      </c>
      <c r="E691" s="49">
        <f>VLOOKUP(B691,'Costo de Materiales'!B$4:D$350,3,FALSE)</f>
        <v>2.343851931930439E-2</v>
      </c>
      <c r="F691" s="217">
        <f t="shared" si="61"/>
        <v>7.0315557957913166E-3</v>
      </c>
      <c r="G691" s="302"/>
      <c r="H691" s="83"/>
      <c r="I691" s="53"/>
      <c r="J691" s="53"/>
      <c r="K691" s="58"/>
    </row>
    <row r="692" spans="1:11" s="3" customFormat="1" ht="12" customHeight="1" x14ac:dyDescent="0.2">
      <c r="A692" s="214"/>
      <c r="B692" s="12" t="s">
        <v>99</v>
      </c>
      <c r="C692" s="21" t="s">
        <v>6</v>
      </c>
      <c r="D692" s="21">
        <v>1</v>
      </c>
      <c r="E692" s="49">
        <f>VLOOKUP(B692,'Costo de Materiales'!B$4:D$350,3,FALSE)</f>
        <v>0.2010543631476252</v>
      </c>
      <c r="F692" s="217">
        <f t="shared" si="61"/>
        <v>0.2010543631476252</v>
      </c>
      <c r="G692" s="302"/>
      <c r="H692" s="83"/>
      <c r="I692" s="53"/>
      <c r="J692" s="53"/>
      <c r="K692" s="58"/>
    </row>
    <row r="693" spans="1:11" s="3" customFormat="1" ht="12" customHeight="1" x14ac:dyDescent="0.2">
      <c r="A693" s="221"/>
      <c r="B693" s="12" t="s">
        <v>140</v>
      </c>
      <c r="C693" s="21" t="s">
        <v>33</v>
      </c>
      <c r="D693" s="29">
        <v>0.05</v>
      </c>
      <c r="E693" s="46">
        <f>VLOOKUP(B693,'Costo de Materiales'!B$4:D$350,3,FALSE)</f>
        <v>0.70176042983464293</v>
      </c>
      <c r="F693" s="217">
        <f t="shared" si="61"/>
        <v>3.5088021491732145E-2</v>
      </c>
      <c r="G693" s="302"/>
      <c r="H693" s="83"/>
      <c r="I693" s="53"/>
      <c r="J693" s="53"/>
      <c r="K693" s="58"/>
    </row>
    <row r="694" spans="1:11" s="3" customFormat="1" ht="12" customHeight="1" x14ac:dyDescent="0.2">
      <c r="A694" s="214"/>
      <c r="B694" s="12" t="s">
        <v>1</v>
      </c>
      <c r="C694" s="21" t="s">
        <v>33</v>
      </c>
      <c r="D694" s="29">
        <v>0.08</v>
      </c>
      <c r="E694" s="46">
        <f>VLOOKUP(B694,'Costo de Materiales'!B$4:D$350,3,FALSE)</f>
        <v>0.35090000000000005</v>
      </c>
      <c r="F694" s="217">
        <f t="shared" si="61"/>
        <v>2.8072000000000003E-2</v>
      </c>
      <c r="G694" s="302"/>
      <c r="H694" s="83"/>
      <c r="I694" s="53"/>
      <c r="J694" s="53"/>
      <c r="K694" s="58"/>
    </row>
    <row r="695" spans="1:11" s="3" customFormat="1" ht="12" customHeight="1" x14ac:dyDescent="0.2">
      <c r="A695" s="222"/>
      <c r="B695" s="22" t="s">
        <v>109</v>
      </c>
      <c r="C695" s="32" t="s">
        <v>11</v>
      </c>
      <c r="D695" s="80">
        <f>VLOOKUP(B695,'Costo de Materiales'!B$4:D$350,3,FALSE)</f>
        <v>0.28999999999999998</v>
      </c>
      <c r="E695" s="47">
        <f>SUM(F693:F694)</f>
        <v>6.3160021491732152E-2</v>
      </c>
      <c r="F695" s="219">
        <f t="shared" si="61"/>
        <v>1.8316406232602323E-2</v>
      </c>
      <c r="G695" s="307"/>
      <c r="H695" s="83"/>
      <c r="I695" s="53"/>
      <c r="J695" s="53"/>
      <c r="K695" s="58"/>
    </row>
    <row r="696" spans="1:11" s="1" customFormat="1" ht="12" customHeight="1" x14ac:dyDescent="0.2">
      <c r="A696" s="209">
        <v>89</v>
      </c>
      <c r="B696" s="93" t="s">
        <v>203</v>
      </c>
      <c r="C696" s="95" t="s">
        <v>17</v>
      </c>
      <c r="D696" s="95"/>
      <c r="E696" s="94"/>
      <c r="F696" s="210">
        <f>SUM(F697:F698)</f>
        <v>4.5266100000000004E-2</v>
      </c>
      <c r="G696" s="302"/>
      <c r="H696" s="83"/>
      <c r="I696" s="53"/>
      <c r="J696" s="53"/>
      <c r="K696" s="62"/>
    </row>
    <row r="697" spans="1:11" s="3" customFormat="1" ht="12" customHeight="1" x14ac:dyDescent="0.2">
      <c r="A697" s="205"/>
      <c r="B697" s="15" t="s">
        <v>1</v>
      </c>
      <c r="C697" s="20" t="s">
        <v>33</v>
      </c>
      <c r="D697" s="20">
        <v>0.1</v>
      </c>
      <c r="E697" s="44">
        <f>VLOOKUP(B697,'Costo de Materiales'!B$4:D$350,3,FALSE)</f>
        <v>0.35090000000000005</v>
      </c>
      <c r="F697" s="206">
        <f>D697*E697</f>
        <v>3.5090000000000003E-2</v>
      </c>
      <c r="G697" s="302"/>
      <c r="H697" s="83"/>
      <c r="I697" s="53"/>
      <c r="J697" s="53"/>
      <c r="K697" s="58"/>
    </row>
    <row r="698" spans="1:11" s="3" customFormat="1" ht="12" customHeight="1" x14ac:dyDescent="0.2">
      <c r="A698" s="207"/>
      <c r="B698" s="27" t="s">
        <v>93</v>
      </c>
      <c r="C698" s="28" t="s">
        <v>11</v>
      </c>
      <c r="D698" s="80">
        <f>VLOOKUP(B698,'Costo de Materiales'!B$4:D$350,3,FALSE)</f>
        <v>0.28999999999999998</v>
      </c>
      <c r="E698" s="45">
        <f>F697</f>
        <v>3.5090000000000003E-2</v>
      </c>
      <c r="F698" s="208">
        <f>D698*E698</f>
        <v>1.01761E-2</v>
      </c>
      <c r="G698" s="302"/>
      <c r="H698" s="83"/>
      <c r="I698" s="53"/>
      <c r="J698" s="53"/>
      <c r="K698" s="58"/>
    </row>
    <row r="699" spans="1:11" s="1" customFormat="1" ht="12" customHeight="1" x14ac:dyDescent="0.2">
      <c r="A699" s="209">
        <v>90</v>
      </c>
      <c r="B699" s="93" t="s">
        <v>385</v>
      </c>
      <c r="C699" s="95" t="s">
        <v>17</v>
      </c>
      <c r="D699" s="95"/>
      <c r="E699" s="94"/>
      <c r="F699" s="210">
        <f>SUM(F700:F701)</f>
        <v>3.6212880000000003E-2</v>
      </c>
      <c r="G699" s="303"/>
      <c r="H699" s="83"/>
      <c r="I699" s="53"/>
      <c r="J699" s="53"/>
      <c r="K699" s="62"/>
    </row>
    <row r="700" spans="1:11" s="3" customFormat="1" ht="12" customHeight="1" x14ac:dyDescent="0.2">
      <c r="A700" s="205"/>
      <c r="B700" s="15" t="s">
        <v>1</v>
      </c>
      <c r="C700" s="20" t="s">
        <v>33</v>
      </c>
      <c r="D700" s="20">
        <v>0.08</v>
      </c>
      <c r="E700" s="44">
        <f>VLOOKUP(B700,'Costo de Materiales'!B$4:D$350,3,FALSE)</f>
        <v>0.35090000000000005</v>
      </c>
      <c r="F700" s="206">
        <f>D700*E700</f>
        <v>2.8072000000000003E-2</v>
      </c>
      <c r="G700" s="302"/>
      <c r="H700" s="83"/>
      <c r="I700" s="53"/>
      <c r="J700" s="53"/>
      <c r="K700" s="58"/>
    </row>
    <row r="701" spans="1:11" s="3" customFormat="1" ht="12" customHeight="1" x14ac:dyDescent="0.2">
      <c r="A701" s="207"/>
      <c r="B701" s="27" t="s">
        <v>109</v>
      </c>
      <c r="C701" s="28" t="s">
        <v>11</v>
      </c>
      <c r="D701" s="80">
        <f>VLOOKUP(B701,'Costo de Materiales'!B$4:D$350,3,FALSE)</f>
        <v>0.28999999999999998</v>
      </c>
      <c r="E701" s="45">
        <f>F700</f>
        <v>2.8072000000000003E-2</v>
      </c>
      <c r="F701" s="208">
        <f>D701*E701</f>
        <v>8.1408799999999996E-3</v>
      </c>
      <c r="G701" s="307"/>
      <c r="H701" s="83"/>
      <c r="I701" s="53"/>
      <c r="J701" s="53"/>
      <c r="K701" s="58"/>
    </row>
    <row r="702" spans="1:11" ht="12" customHeight="1" x14ac:dyDescent="0.2">
      <c r="A702" s="209">
        <v>91</v>
      </c>
      <c r="B702" s="88" t="s">
        <v>386</v>
      </c>
      <c r="C702" s="91" t="s">
        <v>38</v>
      </c>
      <c r="D702" s="91"/>
      <c r="E702" s="94"/>
      <c r="F702" s="210">
        <f>SUM(F703:F708)</f>
        <v>0.19922264402277154</v>
      </c>
      <c r="G702" s="302"/>
      <c r="H702" s="83"/>
      <c r="I702" s="53"/>
      <c r="J702" s="53"/>
    </row>
    <row r="703" spans="1:11" s="3" customFormat="1" ht="12" customHeight="1" x14ac:dyDescent="0.2">
      <c r="A703" s="205"/>
      <c r="B703" s="12" t="s">
        <v>177</v>
      </c>
      <c r="C703" s="11" t="s">
        <v>38</v>
      </c>
      <c r="D703" s="11">
        <v>1.05</v>
      </c>
      <c r="E703" s="44">
        <f>VLOOKUP(B703,'Costo de Materiales'!B$4:D$350,3,FALSE)</f>
        <v>6.0478989771203771E-2</v>
      </c>
      <c r="F703" s="206">
        <f t="shared" ref="F703:F708" si="62">D703*E703</f>
        <v>6.3502939259763969E-2</v>
      </c>
      <c r="G703" s="302"/>
      <c r="H703" s="83"/>
      <c r="I703" s="53"/>
      <c r="J703" s="53"/>
      <c r="K703" s="58"/>
    </row>
    <row r="704" spans="1:11" s="3" customFormat="1" ht="12" customHeight="1" x14ac:dyDescent="0.2">
      <c r="A704" s="205"/>
      <c r="B704" s="12" t="s">
        <v>114</v>
      </c>
      <c r="C704" s="11" t="s">
        <v>18</v>
      </c>
      <c r="D704" s="11">
        <v>0.02</v>
      </c>
      <c r="E704" s="44">
        <f>VLOOKUP(B704,'Costo de Materiales'!B$4:D$350,3,FALSE)</f>
        <v>7.9857147095046752E-2</v>
      </c>
      <c r="F704" s="206">
        <f t="shared" si="62"/>
        <v>1.597142941900935E-3</v>
      </c>
      <c r="G704" s="302"/>
      <c r="H704" s="83"/>
      <c r="I704" s="53"/>
      <c r="J704" s="53"/>
      <c r="K704" s="58"/>
    </row>
    <row r="705" spans="1:11" s="3" customFormat="1" ht="12" customHeight="1" x14ac:dyDescent="0.2">
      <c r="A705" s="205"/>
      <c r="B705" s="12" t="s">
        <v>111</v>
      </c>
      <c r="C705" s="11" t="s">
        <v>11</v>
      </c>
      <c r="D705" s="11">
        <v>0.03</v>
      </c>
      <c r="E705" s="44">
        <f>SUM(F703:F704)</f>
        <v>6.5100082201664911E-2</v>
      </c>
      <c r="F705" s="206">
        <f t="shared" si="62"/>
        <v>1.9530024660499472E-3</v>
      </c>
      <c r="G705" s="302"/>
      <c r="H705" s="83"/>
      <c r="I705" s="53"/>
      <c r="J705" s="53"/>
      <c r="K705" s="58"/>
    </row>
    <row r="706" spans="1:11" s="3" customFormat="1" ht="12" customHeight="1" x14ac:dyDescent="0.2">
      <c r="A706" s="205"/>
      <c r="B706" s="12" t="s">
        <v>96</v>
      </c>
      <c r="C706" s="11" t="s">
        <v>33</v>
      </c>
      <c r="D706" s="11">
        <v>0.08</v>
      </c>
      <c r="E706" s="44">
        <f>VLOOKUP(B706,'Costo de Materiales'!B$4:D$350,3,FALSE)</f>
        <v>0.92983256953090243</v>
      </c>
      <c r="F706" s="206">
        <f t="shared" si="62"/>
        <v>7.4386605562472202E-2</v>
      </c>
      <c r="G706" s="302"/>
      <c r="H706" s="83"/>
      <c r="I706" s="53"/>
      <c r="J706" s="53"/>
      <c r="K706" s="58"/>
    </row>
    <row r="707" spans="1:11" s="3" customFormat="1" ht="12" customHeight="1" x14ac:dyDescent="0.2">
      <c r="A707" s="205"/>
      <c r="B707" s="12" t="s">
        <v>10</v>
      </c>
      <c r="C707" s="11" t="s">
        <v>33</v>
      </c>
      <c r="D707" s="11">
        <v>0.08</v>
      </c>
      <c r="E707" s="44">
        <f>VLOOKUP(B707,'Costo de Materiales'!B$4:D$350,3,FALSE)</f>
        <v>0.35088021491732146</v>
      </c>
      <c r="F707" s="206">
        <f t="shared" si="62"/>
        <v>2.8070417193385717E-2</v>
      </c>
      <c r="G707" s="302"/>
      <c r="H707" s="83"/>
      <c r="I707" s="53"/>
      <c r="J707" s="53"/>
      <c r="K707" s="58"/>
    </row>
    <row r="708" spans="1:11" s="3" customFormat="1" ht="12" customHeight="1" x14ac:dyDescent="0.2">
      <c r="A708" s="207"/>
      <c r="B708" s="26" t="s">
        <v>109</v>
      </c>
      <c r="C708" s="23" t="s">
        <v>11</v>
      </c>
      <c r="D708" s="80">
        <f>VLOOKUP(B708,'Costo de Materiales'!B$4:D$350,3,FALSE)</f>
        <v>0.28999999999999998</v>
      </c>
      <c r="E708" s="45">
        <f>SUM(F706:F707)</f>
        <v>0.10245702275585791</v>
      </c>
      <c r="F708" s="208">
        <f t="shared" si="62"/>
        <v>2.9712536599198792E-2</v>
      </c>
      <c r="G708" s="302"/>
      <c r="H708" s="83"/>
      <c r="I708" s="53"/>
      <c r="J708" s="53"/>
      <c r="K708" s="58"/>
    </row>
    <row r="709" spans="1:11" s="3" customFormat="1" ht="12" customHeight="1" x14ac:dyDescent="0.2">
      <c r="A709" s="209">
        <v>92</v>
      </c>
      <c r="B709" s="88" t="s">
        <v>387</v>
      </c>
      <c r="C709" s="91" t="s">
        <v>38</v>
      </c>
      <c r="D709" s="91"/>
      <c r="E709" s="94"/>
      <c r="F709" s="210">
        <f>SUM(F710:F715)</f>
        <v>0.20931328116701489</v>
      </c>
      <c r="G709" s="303"/>
      <c r="H709" s="83"/>
      <c r="I709" s="53"/>
      <c r="J709" s="53"/>
      <c r="K709" s="58"/>
    </row>
    <row r="710" spans="1:11" s="3" customFormat="1" ht="12" customHeight="1" x14ac:dyDescent="0.2">
      <c r="A710" s="205"/>
      <c r="B710" s="12" t="s">
        <v>176</v>
      </c>
      <c r="C710" s="11" t="s">
        <v>38</v>
      </c>
      <c r="D710" s="11">
        <v>1.05</v>
      </c>
      <c r="E710" s="44">
        <f>VLOOKUP(B710,'Costo de Materiales'!B$4:D$350,3,FALSE)</f>
        <v>6.9809213667868908E-2</v>
      </c>
      <c r="F710" s="206">
        <f t="shared" ref="F710:F715" si="63">D710*E710</f>
        <v>7.3299674351262362E-2</v>
      </c>
      <c r="G710" s="302"/>
      <c r="H710" s="83"/>
      <c r="I710" s="53"/>
      <c r="J710" s="53"/>
      <c r="K710" s="58"/>
    </row>
    <row r="711" spans="1:11" s="3" customFormat="1" ht="12" customHeight="1" x14ac:dyDescent="0.2">
      <c r="A711" s="205"/>
      <c r="B711" s="12" t="s">
        <v>114</v>
      </c>
      <c r="C711" s="11" t="s">
        <v>18</v>
      </c>
      <c r="D711" s="11">
        <v>0.02</v>
      </c>
      <c r="E711" s="44">
        <f>VLOOKUP(B711,'Costo de Materiales'!B$4:D$350,3,FALSE)</f>
        <v>7.9857147095046752E-2</v>
      </c>
      <c r="F711" s="206">
        <f t="shared" si="63"/>
        <v>1.597142941900935E-3</v>
      </c>
      <c r="G711" s="302"/>
      <c r="H711" s="83"/>
      <c r="I711" s="53"/>
      <c r="J711" s="53"/>
      <c r="K711" s="58"/>
    </row>
    <row r="712" spans="1:11" s="3" customFormat="1" ht="12" customHeight="1" x14ac:dyDescent="0.2">
      <c r="A712" s="205"/>
      <c r="B712" s="12" t="s">
        <v>111</v>
      </c>
      <c r="C712" s="11" t="s">
        <v>11</v>
      </c>
      <c r="D712" s="11">
        <v>0.03</v>
      </c>
      <c r="E712" s="44">
        <f>SUM(F710:F711)</f>
        <v>7.4896817293163304E-2</v>
      </c>
      <c r="F712" s="206">
        <f t="shared" si="63"/>
        <v>2.2469045187948991E-3</v>
      </c>
      <c r="G712" s="302"/>
      <c r="H712" s="83"/>
      <c r="I712" s="53"/>
      <c r="J712" s="53"/>
      <c r="K712" s="58"/>
    </row>
    <row r="713" spans="1:11" s="3" customFormat="1" ht="12" customHeight="1" x14ac:dyDescent="0.2">
      <c r="A713" s="205"/>
      <c r="B713" s="12" t="s">
        <v>96</v>
      </c>
      <c r="C713" s="11" t="s">
        <v>33</v>
      </c>
      <c r="D713" s="11">
        <v>0.08</v>
      </c>
      <c r="E713" s="44">
        <f>VLOOKUP(B713,'Costo de Materiales'!B$4:D$350,3,FALSE)</f>
        <v>0.92983256953090243</v>
      </c>
      <c r="F713" s="206">
        <f t="shared" si="63"/>
        <v>7.4386605562472202E-2</v>
      </c>
      <c r="G713" s="302"/>
      <c r="H713" s="83"/>
      <c r="I713" s="53"/>
      <c r="J713" s="53"/>
      <c r="K713" s="58"/>
    </row>
    <row r="714" spans="1:11" s="3" customFormat="1" ht="12" customHeight="1" x14ac:dyDescent="0.2">
      <c r="A714" s="205"/>
      <c r="B714" s="12" t="s">
        <v>10</v>
      </c>
      <c r="C714" s="11" t="s">
        <v>33</v>
      </c>
      <c r="D714" s="11">
        <v>0.08</v>
      </c>
      <c r="E714" s="44">
        <f>VLOOKUP(B714,'Costo de Materiales'!B$4:D$350,3,FALSE)</f>
        <v>0.35088021491732146</v>
      </c>
      <c r="F714" s="206">
        <f t="shared" si="63"/>
        <v>2.8070417193385717E-2</v>
      </c>
      <c r="G714" s="302"/>
      <c r="H714" s="83"/>
      <c r="I714" s="53"/>
      <c r="J714" s="53"/>
      <c r="K714" s="58"/>
    </row>
    <row r="715" spans="1:11" s="3" customFormat="1" ht="12" customHeight="1" x14ac:dyDescent="0.2">
      <c r="A715" s="207"/>
      <c r="B715" s="26" t="s">
        <v>109</v>
      </c>
      <c r="C715" s="23" t="s">
        <v>11</v>
      </c>
      <c r="D715" s="80">
        <f>VLOOKUP(B715,'Costo de Materiales'!B$4:D$350,3,FALSE)</f>
        <v>0.28999999999999998</v>
      </c>
      <c r="E715" s="45">
        <f>SUM(F713:F714)</f>
        <v>0.10245702275585791</v>
      </c>
      <c r="F715" s="208">
        <f t="shared" si="63"/>
        <v>2.9712536599198792E-2</v>
      </c>
      <c r="G715" s="307"/>
      <c r="H715" s="83"/>
      <c r="I715" s="53"/>
      <c r="J715" s="53"/>
      <c r="K715" s="58"/>
    </row>
    <row r="716" spans="1:11" s="1" customFormat="1" ht="12" customHeight="1" x14ac:dyDescent="0.2">
      <c r="A716" s="209">
        <v>93</v>
      </c>
      <c r="B716" s="93" t="s">
        <v>392</v>
      </c>
      <c r="C716" s="91" t="s">
        <v>38</v>
      </c>
      <c r="D716" s="95"/>
      <c r="E716" s="94"/>
      <c r="F716" s="210">
        <f>SUM(F717:F723)</f>
        <v>0.4276360274873181</v>
      </c>
      <c r="G716" s="302"/>
      <c r="H716" s="83"/>
      <c r="I716" s="54"/>
      <c r="J716" s="54"/>
      <c r="K716" s="64"/>
    </row>
    <row r="717" spans="1:11" s="3" customFormat="1" ht="12" customHeight="1" x14ac:dyDescent="0.2">
      <c r="A717" s="205"/>
      <c r="B717" s="12" t="s">
        <v>285</v>
      </c>
      <c r="C717" s="11" t="s">
        <v>17</v>
      </c>
      <c r="D717" s="11">
        <v>0.5</v>
      </c>
      <c r="E717" s="44">
        <f>VLOOKUP(B717,'Costo de Materiales'!B$4:D$350,3,FALSE)</f>
        <v>3.1770608550695655E-2</v>
      </c>
      <c r="F717" s="206">
        <f>D717*E717</f>
        <v>1.5885304275347827E-2</v>
      </c>
      <c r="G717" s="302"/>
      <c r="H717" s="83"/>
      <c r="I717" s="53"/>
      <c r="J717" s="53"/>
      <c r="K717" s="58"/>
    </row>
    <row r="718" spans="1:11" s="3" customFormat="1" ht="12" customHeight="1" x14ac:dyDescent="0.2">
      <c r="A718" s="205"/>
      <c r="B718" s="17" t="s">
        <v>27</v>
      </c>
      <c r="C718" s="11" t="s">
        <v>38</v>
      </c>
      <c r="D718" s="11">
        <v>1.1000000000000001</v>
      </c>
      <c r="E718" s="44">
        <f>VLOOKUP(B718,'Costo de Materiales'!B$4:D$350,3,FALSE)</f>
        <v>0.19062365130417391</v>
      </c>
      <c r="F718" s="206">
        <f t="shared" ref="F718:F723" si="64">D718*E718</f>
        <v>0.20968601643459131</v>
      </c>
      <c r="G718" s="302"/>
      <c r="H718" s="83"/>
      <c r="I718" s="53"/>
      <c r="J718" s="53"/>
      <c r="K718" s="58"/>
    </row>
    <row r="719" spans="1:11" s="3" customFormat="1" ht="12" customHeight="1" x14ac:dyDescent="0.2">
      <c r="A719" s="205"/>
      <c r="B719" s="12" t="s">
        <v>72</v>
      </c>
      <c r="C719" s="11" t="s">
        <v>18</v>
      </c>
      <c r="D719" s="11">
        <v>0.15</v>
      </c>
      <c r="E719" s="44">
        <f>VLOOKUP(B719,'Costo de Materiales'!B$4:D$350,3,FALSE)</f>
        <v>5.7033984024742801E-2</v>
      </c>
      <c r="F719" s="206">
        <f t="shared" si="64"/>
        <v>8.5550976037114205E-3</v>
      </c>
      <c r="G719" s="302"/>
      <c r="H719" s="83"/>
      <c r="I719" s="53"/>
      <c r="J719" s="53"/>
      <c r="K719" s="58"/>
    </row>
    <row r="720" spans="1:11" s="3" customFormat="1" ht="12" customHeight="1" x14ac:dyDescent="0.2">
      <c r="A720" s="205"/>
      <c r="B720" s="12" t="s">
        <v>111</v>
      </c>
      <c r="C720" s="11" t="s">
        <v>11</v>
      </c>
      <c r="D720" s="11">
        <v>0.03</v>
      </c>
      <c r="E720" s="44">
        <f>SUM(F717:F719)</f>
        <v>0.23412641831365055</v>
      </c>
      <c r="F720" s="206">
        <f t="shared" si="64"/>
        <v>7.0237925494095162E-3</v>
      </c>
      <c r="G720" s="302"/>
      <c r="H720" s="83"/>
      <c r="I720" s="53"/>
      <c r="J720" s="53"/>
      <c r="K720" s="58"/>
    </row>
    <row r="721" spans="1:11" s="3" customFormat="1" ht="12" customHeight="1" x14ac:dyDescent="0.2">
      <c r="A721" s="205"/>
      <c r="B721" s="12" t="s">
        <v>83</v>
      </c>
      <c r="C721" s="11" t="s">
        <v>33</v>
      </c>
      <c r="D721" s="11">
        <v>0.13</v>
      </c>
      <c r="E721" s="44">
        <f>VLOOKUP(B721,'Costo de Materiales'!B$4:D$350,3,FALSE)</f>
        <v>0.84211251580157165</v>
      </c>
      <c r="F721" s="206">
        <f t="shared" si="64"/>
        <v>0.10947462705420431</v>
      </c>
      <c r="G721" s="302"/>
      <c r="H721" s="83"/>
      <c r="I721" s="53"/>
      <c r="J721" s="53"/>
      <c r="K721" s="58"/>
    </row>
    <row r="722" spans="1:11" s="3" customFormat="1" ht="12" customHeight="1" x14ac:dyDescent="0.2">
      <c r="A722" s="205"/>
      <c r="B722" s="10" t="s">
        <v>10</v>
      </c>
      <c r="C722" s="11" t="s">
        <v>33</v>
      </c>
      <c r="D722" s="11">
        <v>0.1</v>
      </c>
      <c r="E722" s="44">
        <f>VLOOKUP(B722,'Costo de Materiales'!B$4:D$350,3,FALSE)</f>
        <v>0.35088021491732146</v>
      </c>
      <c r="F722" s="206">
        <f t="shared" si="64"/>
        <v>3.5088021491732145E-2</v>
      </c>
      <c r="G722" s="302"/>
      <c r="H722" s="83"/>
      <c r="I722" s="53"/>
      <c r="J722" s="53"/>
      <c r="K722" s="58"/>
    </row>
    <row r="723" spans="1:11" s="3" customFormat="1" ht="12" customHeight="1" x14ac:dyDescent="0.2">
      <c r="A723" s="207"/>
      <c r="B723" s="26" t="s">
        <v>109</v>
      </c>
      <c r="C723" s="23" t="s">
        <v>11</v>
      </c>
      <c r="D723" s="80">
        <f>VLOOKUP(B723,'Costo de Materiales'!B$4:D$350,3,FALSE)</f>
        <v>0.28999999999999998</v>
      </c>
      <c r="E723" s="45">
        <f>SUM(F721:F722)</f>
        <v>0.14456264854593645</v>
      </c>
      <c r="F723" s="208">
        <f t="shared" si="64"/>
        <v>4.1923168078321568E-2</v>
      </c>
      <c r="G723" s="302"/>
      <c r="H723" s="83"/>
      <c r="I723" s="53"/>
      <c r="J723" s="53"/>
      <c r="K723" s="58"/>
    </row>
    <row r="724" spans="1:11" s="3" customFormat="1" ht="12" customHeight="1" x14ac:dyDescent="0.2">
      <c r="A724" s="209">
        <v>94</v>
      </c>
      <c r="B724" s="88" t="s">
        <v>388</v>
      </c>
      <c r="C724" s="91" t="s">
        <v>38</v>
      </c>
      <c r="D724" s="91"/>
      <c r="E724" s="94"/>
      <c r="F724" s="210">
        <f>SUM(F725:F730)</f>
        <v>0.25236666631578653</v>
      </c>
      <c r="G724" s="303"/>
      <c r="H724" s="83"/>
      <c r="I724" s="53"/>
      <c r="J724" s="53"/>
      <c r="K724" s="58"/>
    </row>
    <row r="725" spans="1:11" s="3" customFormat="1" ht="12" customHeight="1" x14ac:dyDescent="0.2">
      <c r="A725" s="205"/>
      <c r="B725" s="12" t="s">
        <v>179</v>
      </c>
      <c r="C725" s="11" t="s">
        <v>38</v>
      </c>
      <c r="D725" s="11">
        <v>1.05</v>
      </c>
      <c r="E725" s="44">
        <f>VLOOKUP(B725,'Costo de Materiales'!B$4:D$350,3,FALSE)</f>
        <v>0.10961816896030684</v>
      </c>
      <c r="F725" s="206">
        <f t="shared" ref="F725:F730" si="65">D725*E725</f>
        <v>0.11509907740832219</v>
      </c>
      <c r="G725" s="302"/>
      <c r="H725" s="83"/>
      <c r="I725" s="53"/>
      <c r="J725" s="53"/>
      <c r="K725" s="58"/>
    </row>
    <row r="726" spans="1:11" s="3" customFormat="1" ht="12" customHeight="1" x14ac:dyDescent="0.2">
      <c r="A726" s="205"/>
      <c r="B726" s="12" t="s">
        <v>114</v>
      </c>
      <c r="C726" s="11" t="s">
        <v>18</v>
      </c>
      <c r="D726" s="11">
        <v>0.02</v>
      </c>
      <c r="E726" s="44">
        <f>VLOOKUP(B726,'Costo de Materiales'!B$4:D$350,3,FALSE)</f>
        <v>7.9857147095046752E-2</v>
      </c>
      <c r="F726" s="206">
        <f t="shared" si="65"/>
        <v>1.597142941900935E-3</v>
      </c>
      <c r="G726" s="302"/>
      <c r="H726" s="83"/>
      <c r="I726" s="53"/>
      <c r="J726" s="53"/>
      <c r="K726" s="58"/>
    </row>
    <row r="727" spans="1:11" s="3" customFormat="1" ht="12" customHeight="1" x14ac:dyDescent="0.2">
      <c r="A727" s="205"/>
      <c r="B727" s="12" t="s">
        <v>111</v>
      </c>
      <c r="C727" s="11" t="s">
        <v>11</v>
      </c>
      <c r="D727" s="11">
        <v>0.03</v>
      </c>
      <c r="E727" s="44">
        <f>SUM(F725:F726)</f>
        <v>0.11669622035022312</v>
      </c>
      <c r="F727" s="206">
        <f t="shared" si="65"/>
        <v>3.5008866105066933E-3</v>
      </c>
      <c r="G727" s="302"/>
      <c r="H727" s="83"/>
      <c r="I727" s="53"/>
      <c r="J727" s="53"/>
      <c r="K727" s="58"/>
    </row>
    <row r="728" spans="1:11" s="3" customFormat="1" ht="12" customHeight="1" x14ac:dyDescent="0.2">
      <c r="A728" s="205"/>
      <c r="B728" s="12" t="s">
        <v>96</v>
      </c>
      <c r="C728" s="11" t="s">
        <v>33</v>
      </c>
      <c r="D728" s="11">
        <v>0.08</v>
      </c>
      <c r="E728" s="44">
        <f>VLOOKUP(B728,'Costo de Materiales'!B$4:D$350,3,FALSE)</f>
        <v>0.92983256953090243</v>
      </c>
      <c r="F728" s="206">
        <f t="shared" si="65"/>
        <v>7.4386605562472202E-2</v>
      </c>
      <c r="G728" s="302"/>
      <c r="H728" s="83"/>
      <c r="I728" s="53"/>
      <c r="J728" s="53"/>
      <c r="K728" s="58"/>
    </row>
    <row r="729" spans="1:11" s="3" customFormat="1" ht="12" customHeight="1" x14ac:dyDescent="0.2">
      <c r="A729" s="205"/>
      <c r="B729" s="12" t="s">
        <v>10</v>
      </c>
      <c r="C729" s="11" t="s">
        <v>33</v>
      </c>
      <c r="D729" s="11">
        <v>0.08</v>
      </c>
      <c r="E729" s="44">
        <f>VLOOKUP(B729,'Costo de Materiales'!B$4:D$350,3,FALSE)</f>
        <v>0.35088021491732146</v>
      </c>
      <c r="F729" s="206">
        <f t="shared" si="65"/>
        <v>2.8070417193385717E-2</v>
      </c>
      <c r="G729" s="302"/>
      <c r="H729" s="83"/>
      <c r="I729" s="53"/>
      <c r="J729" s="53"/>
      <c r="K729" s="58"/>
    </row>
    <row r="730" spans="1:11" s="3" customFormat="1" ht="12" customHeight="1" x14ac:dyDescent="0.2">
      <c r="A730" s="207"/>
      <c r="B730" s="26" t="s">
        <v>109</v>
      </c>
      <c r="C730" s="23" t="s">
        <v>11</v>
      </c>
      <c r="D730" s="80">
        <f>VLOOKUP(B730,'Costo de Materiales'!B$4:D$350,3,FALSE)</f>
        <v>0.28999999999999998</v>
      </c>
      <c r="E730" s="45">
        <f>SUM(F728:F729)</f>
        <v>0.10245702275585791</v>
      </c>
      <c r="F730" s="208">
        <f t="shared" si="65"/>
        <v>2.9712536599198792E-2</v>
      </c>
      <c r="G730" s="307"/>
      <c r="H730" s="83"/>
      <c r="I730" s="53"/>
      <c r="J730" s="53"/>
      <c r="K730" s="58"/>
    </row>
    <row r="731" spans="1:11" s="3" customFormat="1" ht="12" customHeight="1" x14ac:dyDescent="0.2">
      <c r="A731" s="209">
        <v>95</v>
      </c>
      <c r="B731" s="88" t="s">
        <v>389</v>
      </c>
      <c r="C731" s="91" t="s">
        <v>38</v>
      </c>
      <c r="D731" s="91"/>
      <c r="E731" s="94"/>
      <c r="F731" s="210">
        <f>SUM(F732:F737)</f>
        <v>0.26043917603118122</v>
      </c>
      <c r="G731" s="302"/>
      <c r="H731" s="83"/>
      <c r="I731" s="53"/>
      <c r="J731" s="53"/>
      <c r="K731" s="58"/>
    </row>
    <row r="732" spans="1:11" s="3" customFormat="1" ht="12" customHeight="1" x14ac:dyDescent="0.2">
      <c r="A732" s="205"/>
      <c r="B732" s="12" t="s">
        <v>178</v>
      </c>
      <c r="C732" s="11" t="s">
        <v>38</v>
      </c>
      <c r="D732" s="11">
        <v>1.05</v>
      </c>
      <c r="E732" s="44">
        <f>VLOOKUP(B732,'Costo de Materiales'!B$4:D$350,3,FALSE)</f>
        <v>0.11708234807763895</v>
      </c>
      <c r="F732" s="206">
        <f t="shared" ref="F732:F737" si="66">D732*E732</f>
        <v>0.1229364654815209</v>
      </c>
      <c r="G732" s="302"/>
      <c r="H732" s="83"/>
      <c r="I732" s="53"/>
      <c r="J732" s="53"/>
      <c r="K732" s="58"/>
    </row>
    <row r="733" spans="1:11" s="3" customFormat="1" ht="12" customHeight="1" x14ac:dyDescent="0.2">
      <c r="A733" s="205"/>
      <c r="B733" s="12" t="s">
        <v>114</v>
      </c>
      <c r="C733" s="11" t="s">
        <v>18</v>
      </c>
      <c r="D733" s="11">
        <v>0.02</v>
      </c>
      <c r="E733" s="44">
        <f>VLOOKUP(B733,'Costo de Materiales'!B$4:D$350,3,FALSE)</f>
        <v>7.9857147095046752E-2</v>
      </c>
      <c r="F733" s="206">
        <f t="shared" si="66"/>
        <v>1.597142941900935E-3</v>
      </c>
      <c r="G733" s="302"/>
      <c r="H733" s="83"/>
      <c r="I733" s="53"/>
      <c r="J733" s="53"/>
      <c r="K733" s="58"/>
    </row>
    <row r="734" spans="1:11" s="3" customFormat="1" ht="12" customHeight="1" x14ac:dyDescent="0.2">
      <c r="A734" s="205"/>
      <c r="B734" s="12" t="s">
        <v>111</v>
      </c>
      <c r="C734" s="11" t="s">
        <v>11</v>
      </c>
      <c r="D734" s="11">
        <v>0.03</v>
      </c>
      <c r="E734" s="44">
        <f>SUM(F732:F733)</f>
        <v>0.12453360842342184</v>
      </c>
      <c r="F734" s="206">
        <f t="shared" si="66"/>
        <v>3.7360082527026551E-3</v>
      </c>
      <c r="G734" s="302"/>
      <c r="H734" s="83"/>
      <c r="I734" s="53"/>
      <c r="J734" s="53"/>
      <c r="K734" s="58"/>
    </row>
    <row r="735" spans="1:11" s="3" customFormat="1" ht="12" customHeight="1" x14ac:dyDescent="0.2">
      <c r="A735" s="205"/>
      <c r="B735" s="12" t="s">
        <v>96</v>
      </c>
      <c r="C735" s="11" t="s">
        <v>33</v>
      </c>
      <c r="D735" s="11">
        <v>0.08</v>
      </c>
      <c r="E735" s="44">
        <f>VLOOKUP(B735,'Costo de Materiales'!B$4:D$350,3,FALSE)</f>
        <v>0.92983256953090243</v>
      </c>
      <c r="F735" s="206">
        <f t="shared" si="66"/>
        <v>7.4386605562472202E-2</v>
      </c>
      <c r="G735" s="302"/>
      <c r="H735" s="83"/>
      <c r="I735" s="53"/>
      <c r="J735" s="53"/>
      <c r="K735" s="58"/>
    </row>
    <row r="736" spans="1:11" s="3" customFormat="1" ht="12" customHeight="1" x14ac:dyDescent="0.2">
      <c r="A736" s="205"/>
      <c r="B736" s="12" t="s">
        <v>10</v>
      </c>
      <c r="C736" s="11" t="s">
        <v>33</v>
      </c>
      <c r="D736" s="11">
        <v>0.08</v>
      </c>
      <c r="E736" s="44">
        <f>VLOOKUP(B736,'Costo de Materiales'!B$4:D$350,3,FALSE)</f>
        <v>0.35088021491732146</v>
      </c>
      <c r="F736" s="206">
        <f t="shared" si="66"/>
        <v>2.8070417193385717E-2</v>
      </c>
      <c r="G736" s="302"/>
      <c r="H736" s="83"/>
      <c r="I736" s="53"/>
      <c r="J736" s="53"/>
      <c r="K736" s="58"/>
    </row>
    <row r="737" spans="1:11" s="3" customFormat="1" ht="12" customHeight="1" x14ac:dyDescent="0.2">
      <c r="A737" s="207"/>
      <c r="B737" s="26" t="s">
        <v>109</v>
      </c>
      <c r="C737" s="23" t="s">
        <v>11</v>
      </c>
      <c r="D737" s="80">
        <f>VLOOKUP(B737,'Costo de Materiales'!B$4:D$350,3,FALSE)</f>
        <v>0.28999999999999998</v>
      </c>
      <c r="E737" s="45">
        <f>SUM(F735:F736)</f>
        <v>0.10245702275585791</v>
      </c>
      <c r="F737" s="208">
        <f t="shared" si="66"/>
        <v>2.9712536599198792E-2</v>
      </c>
      <c r="G737" s="302"/>
      <c r="H737" s="83"/>
      <c r="I737" s="53"/>
      <c r="J737" s="53"/>
      <c r="K737" s="58"/>
    </row>
    <row r="738" spans="1:11" s="3" customFormat="1" ht="12" customHeight="1" x14ac:dyDescent="0.2">
      <c r="A738" s="209">
        <v>96</v>
      </c>
      <c r="B738" s="88" t="s">
        <v>390</v>
      </c>
      <c r="C738" s="91" t="s">
        <v>38</v>
      </c>
      <c r="D738" s="91"/>
      <c r="E738" s="94"/>
      <c r="F738" s="210">
        <f>SUM(F739:F744)</f>
        <v>0.32455353203998899</v>
      </c>
      <c r="G738" s="303"/>
      <c r="H738" s="83"/>
      <c r="I738" s="53"/>
      <c r="J738" s="53"/>
      <c r="K738" s="58"/>
    </row>
    <row r="739" spans="1:11" s="3" customFormat="1" ht="12" customHeight="1" x14ac:dyDescent="0.2">
      <c r="A739" s="205"/>
      <c r="B739" s="12" t="s">
        <v>183</v>
      </c>
      <c r="C739" s="11" t="s">
        <v>38</v>
      </c>
      <c r="D739" s="11">
        <v>1.05</v>
      </c>
      <c r="E739" s="44">
        <f>VLOOKUP(B739,'Costo de Materiales'!B$4:D$350,3,FALSE)</f>
        <v>0.17636515529798821</v>
      </c>
      <c r="F739" s="206">
        <f t="shared" ref="F739:F744" si="67">D739*E739</f>
        <v>0.18518341306288763</v>
      </c>
      <c r="G739" s="302"/>
      <c r="H739" s="83"/>
      <c r="I739" s="53"/>
      <c r="J739" s="53"/>
      <c r="K739" s="58"/>
    </row>
    <row r="740" spans="1:11" s="3" customFormat="1" ht="12" customHeight="1" x14ac:dyDescent="0.2">
      <c r="A740" s="205"/>
      <c r="B740" s="12" t="s">
        <v>114</v>
      </c>
      <c r="C740" s="11" t="s">
        <v>18</v>
      </c>
      <c r="D740" s="11">
        <v>0.02</v>
      </c>
      <c r="E740" s="44">
        <f>VLOOKUP(B740,'Costo de Materiales'!B$4:D$350,3,FALSE)</f>
        <v>7.9857147095046752E-2</v>
      </c>
      <c r="F740" s="206">
        <f t="shared" si="67"/>
        <v>1.597142941900935E-3</v>
      </c>
      <c r="G740" s="302"/>
      <c r="H740" s="83"/>
      <c r="I740" s="53"/>
      <c r="J740" s="53"/>
      <c r="K740" s="58"/>
    </row>
    <row r="741" spans="1:11" s="3" customFormat="1" ht="12" customHeight="1" x14ac:dyDescent="0.2">
      <c r="A741" s="205"/>
      <c r="B741" s="12" t="s">
        <v>111</v>
      </c>
      <c r="C741" s="11" t="s">
        <v>11</v>
      </c>
      <c r="D741" s="11">
        <v>0.03</v>
      </c>
      <c r="E741" s="44">
        <f>SUM(F739:F740)</f>
        <v>0.18678055600478857</v>
      </c>
      <c r="F741" s="206">
        <f t="shared" si="67"/>
        <v>5.6034166801436566E-3</v>
      </c>
      <c r="G741" s="302"/>
      <c r="H741" s="83"/>
      <c r="I741" s="53"/>
      <c r="J741" s="53"/>
      <c r="K741" s="58"/>
    </row>
    <row r="742" spans="1:11" s="3" customFormat="1" ht="12" customHeight="1" x14ac:dyDescent="0.2">
      <c r="A742" s="205"/>
      <c r="B742" s="12" t="s">
        <v>96</v>
      </c>
      <c r="C742" s="11" t="s">
        <v>33</v>
      </c>
      <c r="D742" s="11">
        <v>0.08</v>
      </c>
      <c r="E742" s="44">
        <f>VLOOKUP(B742,'Costo de Materiales'!B$4:D$350,3,FALSE)</f>
        <v>0.92983256953090243</v>
      </c>
      <c r="F742" s="206">
        <f t="shared" si="67"/>
        <v>7.4386605562472202E-2</v>
      </c>
      <c r="G742" s="302"/>
      <c r="H742" s="83"/>
      <c r="I742" s="53"/>
      <c r="J742" s="53"/>
      <c r="K742" s="58"/>
    </row>
    <row r="743" spans="1:11" s="3" customFormat="1" ht="12" customHeight="1" x14ac:dyDescent="0.2">
      <c r="A743" s="205"/>
      <c r="B743" s="12" t="s">
        <v>10</v>
      </c>
      <c r="C743" s="11" t="s">
        <v>33</v>
      </c>
      <c r="D743" s="11">
        <v>0.08</v>
      </c>
      <c r="E743" s="44">
        <f>VLOOKUP(B743,'Costo de Materiales'!B$4:D$350,3,FALSE)</f>
        <v>0.35088021491732146</v>
      </c>
      <c r="F743" s="206">
        <f t="shared" si="67"/>
        <v>2.8070417193385717E-2</v>
      </c>
      <c r="G743" s="302"/>
      <c r="H743" s="83"/>
      <c r="I743" s="53"/>
      <c r="J743" s="53"/>
      <c r="K743" s="58"/>
    </row>
    <row r="744" spans="1:11" s="3" customFormat="1" ht="12" customHeight="1" x14ac:dyDescent="0.2">
      <c r="A744" s="207"/>
      <c r="B744" s="26" t="s">
        <v>109</v>
      </c>
      <c r="C744" s="23" t="s">
        <v>11</v>
      </c>
      <c r="D744" s="80">
        <f>VLOOKUP(B744,'Costo de Materiales'!B$4:D$350,3,FALSE)</f>
        <v>0.28999999999999998</v>
      </c>
      <c r="E744" s="45">
        <f>SUM(F742:F743)</f>
        <v>0.10245702275585791</v>
      </c>
      <c r="F744" s="208">
        <f t="shared" si="67"/>
        <v>2.9712536599198792E-2</v>
      </c>
      <c r="G744" s="307"/>
      <c r="H744" s="83"/>
      <c r="I744" s="53"/>
      <c r="J744" s="53"/>
      <c r="K744" s="58"/>
    </row>
    <row r="745" spans="1:11" s="1" customFormat="1" ht="12" customHeight="1" x14ac:dyDescent="0.2">
      <c r="A745" s="209">
        <v>97</v>
      </c>
      <c r="B745" s="93" t="s">
        <v>188</v>
      </c>
      <c r="C745" s="91" t="s">
        <v>38</v>
      </c>
      <c r="D745" s="91"/>
      <c r="E745" s="94"/>
      <c r="F745" s="210">
        <f>SUM(F746:F751)</f>
        <v>0.29066068511594839</v>
      </c>
      <c r="G745" s="302"/>
      <c r="H745" s="83"/>
      <c r="I745" s="53"/>
      <c r="J745" s="53"/>
      <c r="K745" s="62"/>
    </row>
    <row r="746" spans="1:11" s="3" customFormat="1" ht="12" customHeight="1" x14ac:dyDescent="0.2">
      <c r="A746" s="205"/>
      <c r="B746" s="10" t="s">
        <v>376</v>
      </c>
      <c r="C746" s="11" t="s">
        <v>17</v>
      </c>
      <c r="D746" s="11">
        <v>3.4</v>
      </c>
      <c r="E746" s="44">
        <f>VLOOKUP(B746,'Costo de Materiales'!B$4:D$350,3,FALSE)</f>
        <v>3.2153386966969094E-2</v>
      </c>
      <c r="F746" s="206">
        <f t="shared" ref="F746:F751" si="68">D746*E746</f>
        <v>0.10932151568769492</v>
      </c>
      <c r="G746" s="302"/>
      <c r="H746" s="83"/>
      <c r="I746" s="53"/>
      <c r="J746" s="53"/>
      <c r="K746" s="58"/>
    </row>
    <row r="747" spans="1:11" s="3" customFormat="1" ht="12" customHeight="1" x14ac:dyDescent="0.2">
      <c r="A747" s="205"/>
      <c r="B747" s="12" t="s">
        <v>72</v>
      </c>
      <c r="C747" s="11" t="s">
        <v>18</v>
      </c>
      <c r="D747" s="11">
        <v>0.11</v>
      </c>
      <c r="E747" s="44">
        <f>VLOOKUP(B747,'Costo de Materiales'!B$4:D$350,3,FALSE)</f>
        <v>5.7033984024742801E-2</v>
      </c>
      <c r="F747" s="206">
        <f t="shared" si="68"/>
        <v>6.2737382427217082E-3</v>
      </c>
      <c r="G747" s="302"/>
      <c r="H747" s="83"/>
      <c r="I747" s="53"/>
      <c r="J747" s="53"/>
      <c r="K747" s="58"/>
    </row>
    <row r="748" spans="1:11" s="3" customFormat="1" ht="12" customHeight="1" x14ac:dyDescent="0.2">
      <c r="A748" s="205"/>
      <c r="B748" s="10" t="s">
        <v>111</v>
      </c>
      <c r="C748" s="11" t="s">
        <v>11</v>
      </c>
      <c r="D748" s="11">
        <v>0.05</v>
      </c>
      <c r="E748" s="44">
        <f>SUM(F746:F747)</f>
        <v>0.11559525393041663</v>
      </c>
      <c r="F748" s="206">
        <f t="shared" si="68"/>
        <v>5.7797626965208314E-3</v>
      </c>
      <c r="G748" s="302"/>
      <c r="H748" s="83"/>
      <c r="I748" s="53"/>
      <c r="J748" s="53"/>
      <c r="K748" s="58"/>
    </row>
    <row r="749" spans="1:11" s="3" customFormat="1" ht="12" customHeight="1" x14ac:dyDescent="0.2">
      <c r="A749" s="205"/>
      <c r="B749" s="10" t="s">
        <v>83</v>
      </c>
      <c r="C749" s="20" t="s">
        <v>33</v>
      </c>
      <c r="D749" s="20">
        <v>0.11</v>
      </c>
      <c r="E749" s="44">
        <f>VLOOKUP(B749,'Costo de Materiales'!B$4:D$350,3,FALSE)</f>
        <v>0.84211251580157165</v>
      </c>
      <c r="F749" s="206">
        <f t="shared" si="68"/>
        <v>9.2632376738172886E-2</v>
      </c>
      <c r="G749" s="302"/>
      <c r="H749" s="83"/>
      <c r="I749" s="53"/>
      <c r="J749" s="53"/>
      <c r="K749" s="58"/>
    </row>
    <row r="750" spans="1:11" s="3" customFormat="1" ht="12" customHeight="1" x14ac:dyDescent="0.2">
      <c r="A750" s="205"/>
      <c r="B750" s="15" t="s">
        <v>10</v>
      </c>
      <c r="C750" s="20" t="s">
        <v>33</v>
      </c>
      <c r="D750" s="20">
        <v>0.11</v>
      </c>
      <c r="E750" s="44">
        <f>VLOOKUP(B750,'Costo de Materiales'!B$4:D$350,3,FALSE)</f>
        <v>0.35088021491732146</v>
      </c>
      <c r="F750" s="206">
        <f t="shared" si="68"/>
        <v>3.8596823640905359E-2</v>
      </c>
      <c r="G750" s="302"/>
      <c r="H750" s="83"/>
      <c r="I750" s="53"/>
      <c r="J750" s="53"/>
      <c r="K750" s="58"/>
    </row>
    <row r="751" spans="1:11" s="3" customFormat="1" ht="12" customHeight="1" x14ac:dyDescent="0.2">
      <c r="A751" s="207"/>
      <c r="B751" s="27" t="s">
        <v>93</v>
      </c>
      <c r="C751" s="28" t="s">
        <v>11</v>
      </c>
      <c r="D751" s="80">
        <f>VLOOKUP(B751,'Costo de Materiales'!B$4:D$350,3,FALSE)</f>
        <v>0.28999999999999998</v>
      </c>
      <c r="E751" s="45">
        <f>SUM(F749:F750)</f>
        <v>0.13122920037907826</v>
      </c>
      <c r="F751" s="208">
        <f t="shared" si="68"/>
        <v>3.8056468109932691E-2</v>
      </c>
      <c r="G751" s="302"/>
      <c r="H751" s="83"/>
      <c r="I751" s="53"/>
      <c r="J751" s="53"/>
      <c r="K751" s="58"/>
    </row>
    <row r="752" spans="1:11" s="1" customFormat="1" ht="12" customHeight="1" x14ac:dyDescent="0.2">
      <c r="A752" s="209">
        <v>98</v>
      </c>
      <c r="B752" s="93" t="s">
        <v>391</v>
      </c>
      <c r="C752" s="91" t="s">
        <v>38</v>
      </c>
      <c r="D752" s="95"/>
      <c r="E752" s="94"/>
      <c r="F752" s="210">
        <f>SUM(F753:F758)</f>
        <v>0.35221911002104328</v>
      </c>
      <c r="G752" s="303"/>
      <c r="H752" s="83"/>
      <c r="I752" s="53"/>
      <c r="J752" s="53"/>
      <c r="K752" s="62"/>
    </row>
    <row r="753" spans="1:11" s="3" customFormat="1" ht="12" customHeight="1" x14ac:dyDescent="0.2">
      <c r="A753" s="205"/>
      <c r="B753" s="10" t="s">
        <v>376</v>
      </c>
      <c r="C753" s="11" t="s">
        <v>17</v>
      </c>
      <c r="D753" s="11">
        <v>3.4</v>
      </c>
      <c r="E753" s="44">
        <f>VLOOKUP(B753,'Costo de Materiales'!B$4:D$350,3,FALSE)</f>
        <v>3.2153386966969094E-2</v>
      </c>
      <c r="F753" s="206">
        <f t="shared" ref="F753:F758" si="69">D753*E753</f>
        <v>0.10932151568769492</v>
      </c>
      <c r="G753" s="302"/>
      <c r="H753" s="83"/>
      <c r="I753" s="53"/>
      <c r="J753" s="53"/>
      <c r="K753" s="58"/>
    </row>
    <row r="754" spans="1:11" s="3" customFormat="1" ht="12" customHeight="1" x14ac:dyDescent="0.2">
      <c r="A754" s="205"/>
      <c r="B754" s="12" t="s">
        <v>72</v>
      </c>
      <c r="C754" s="11" t="s">
        <v>18</v>
      </c>
      <c r="D754" s="11">
        <v>0.11</v>
      </c>
      <c r="E754" s="44">
        <f>VLOOKUP(B754,'Costo de Materiales'!B$4:D$350,3,FALSE)</f>
        <v>5.7033984024742801E-2</v>
      </c>
      <c r="F754" s="206">
        <f t="shared" si="69"/>
        <v>6.2737382427217082E-3</v>
      </c>
      <c r="G754" s="302"/>
      <c r="H754" s="83"/>
      <c r="I754" s="53"/>
      <c r="J754" s="53"/>
      <c r="K754" s="58"/>
    </row>
    <row r="755" spans="1:11" s="3" customFormat="1" ht="12" customHeight="1" x14ac:dyDescent="0.2">
      <c r="A755" s="205"/>
      <c r="B755" s="10" t="s">
        <v>111</v>
      </c>
      <c r="C755" s="11" t="s">
        <v>11</v>
      </c>
      <c r="D755" s="11">
        <v>0.05</v>
      </c>
      <c r="E755" s="44">
        <f>SUM(F753:F754)</f>
        <v>0.11559525393041663</v>
      </c>
      <c r="F755" s="206">
        <f t="shared" si="69"/>
        <v>5.7797626965208314E-3</v>
      </c>
      <c r="G755" s="302"/>
      <c r="H755" s="83"/>
      <c r="I755" s="53"/>
      <c r="J755" s="53"/>
      <c r="K755" s="58"/>
    </row>
    <row r="756" spans="1:11" s="3" customFormat="1" ht="12" customHeight="1" x14ac:dyDescent="0.2">
      <c r="A756" s="205"/>
      <c r="B756" s="10" t="s">
        <v>83</v>
      </c>
      <c r="C756" s="20" t="s">
        <v>33</v>
      </c>
      <c r="D756" s="20">
        <v>0.15</v>
      </c>
      <c r="E756" s="44">
        <f>VLOOKUP(B756,'Costo de Materiales'!B$4:D$350,3,FALSE)</f>
        <v>0.84211251580157165</v>
      </c>
      <c r="F756" s="206">
        <f t="shared" si="69"/>
        <v>0.12631687737023575</v>
      </c>
      <c r="G756" s="302"/>
      <c r="H756" s="83"/>
      <c r="I756" s="53"/>
      <c r="J756" s="53"/>
      <c r="K756" s="58"/>
    </row>
    <row r="757" spans="1:11" s="3" customFormat="1" ht="12" customHeight="1" x14ac:dyDescent="0.2">
      <c r="A757" s="205"/>
      <c r="B757" s="15" t="s">
        <v>10</v>
      </c>
      <c r="C757" s="20" t="s">
        <v>33</v>
      </c>
      <c r="D757" s="20">
        <v>0.15</v>
      </c>
      <c r="E757" s="44">
        <f>VLOOKUP(B757,'Costo de Materiales'!B$4:D$350,3,FALSE)</f>
        <v>0.35088021491732146</v>
      </c>
      <c r="F757" s="206">
        <f t="shared" si="69"/>
        <v>5.2632032237598221E-2</v>
      </c>
      <c r="G757" s="302"/>
      <c r="H757" s="83"/>
      <c r="I757" s="53"/>
      <c r="J757" s="53"/>
      <c r="K757" s="58"/>
    </row>
    <row r="758" spans="1:11" s="3" customFormat="1" ht="12" customHeight="1" x14ac:dyDescent="0.2">
      <c r="A758" s="207"/>
      <c r="B758" s="27" t="s">
        <v>93</v>
      </c>
      <c r="C758" s="28" t="s">
        <v>11</v>
      </c>
      <c r="D758" s="80">
        <f>VLOOKUP(B758,'Costo de Materiales'!B$4:D$350,3,FALSE)</f>
        <v>0.28999999999999998</v>
      </c>
      <c r="E758" s="45">
        <f>SUM(F756:F757)</f>
        <v>0.17894890960783397</v>
      </c>
      <c r="F758" s="208">
        <f t="shared" si="69"/>
        <v>5.1895183786271844E-2</v>
      </c>
      <c r="G758" s="307"/>
      <c r="H758" s="83"/>
      <c r="I758" s="53"/>
      <c r="J758" s="53"/>
      <c r="K758" s="58"/>
    </row>
    <row r="759" spans="1:11" s="5" customFormat="1" ht="12" customHeight="1" x14ac:dyDescent="0.2">
      <c r="A759" s="209">
        <v>99</v>
      </c>
      <c r="B759" s="93" t="s">
        <v>400</v>
      </c>
      <c r="C759" s="91" t="s">
        <v>38</v>
      </c>
      <c r="D759" s="95"/>
      <c r="E759" s="94"/>
      <c r="F759" s="210">
        <f>SUM(F760:F769)</f>
        <v>0.33863937344914935</v>
      </c>
      <c r="G759" s="302"/>
      <c r="H759" s="83"/>
      <c r="I759" s="53"/>
      <c r="J759" s="53"/>
      <c r="K759" s="75"/>
    </row>
    <row r="760" spans="1:11" s="5" customFormat="1" ht="12" customHeight="1" x14ac:dyDescent="0.2">
      <c r="A760" s="211"/>
      <c r="B760" s="188" t="s">
        <v>401</v>
      </c>
      <c r="C760" s="11" t="s">
        <v>17</v>
      </c>
      <c r="D760" s="34">
        <v>2.2999999999999998</v>
      </c>
      <c r="E760" s="44">
        <f>VLOOKUP(B760,'Costo de Materiales'!B$4:D$350,3,FALSE)</f>
        <v>8.4498335392362234E-2</v>
      </c>
      <c r="F760" s="206">
        <f>D760*E760</f>
        <v>0.19434617140243313</v>
      </c>
      <c r="G760" s="302"/>
      <c r="H760" s="83"/>
      <c r="I760" s="53"/>
      <c r="J760" s="53"/>
      <c r="K760" s="75"/>
    </row>
    <row r="761" spans="1:11" s="3" customFormat="1" ht="12" customHeight="1" x14ac:dyDescent="0.2">
      <c r="A761" s="205"/>
      <c r="B761" s="33" t="s">
        <v>256</v>
      </c>
      <c r="C761" s="11" t="s">
        <v>568</v>
      </c>
      <c r="D761" s="20">
        <v>0.6</v>
      </c>
      <c r="E761" s="44">
        <f>VLOOKUP(B761,'Costo de Materiales'!B$4:D$350,3,FALSE)</f>
        <v>2.5646153890320586E-2</v>
      </c>
      <c r="F761" s="206">
        <f t="shared" ref="F761:F769" si="70">D761*E761</f>
        <v>1.5387692334192351E-2</v>
      </c>
      <c r="G761" s="302"/>
      <c r="H761" s="83"/>
      <c r="I761" s="53"/>
      <c r="J761" s="53"/>
      <c r="K761" s="58"/>
    </row>
    <row r="762" spans="1:11" s="3" customFormat="1" ht="12" customHeight="1" x14ac:dyDescent="0.2">
      <c r="A762" s="205"/>
      <c r="B762" s="33" t="s">
        <v>257</v>
      </c>
      <c r="C762" s="11" t="s">
        <v>568</v>
      </c>
      <c r="D762" s="20">
        <v>0.45</v>
      </c>
      <c r="E762" s="44">
        <f>VLOOKUP(B762,'Costo de Materiales'!B$4:D$350,3,FALSE)</f>
        <v>2.8469144710337218E-2</v>
      </c>
      <c r="F762" s="206">
        <f t="shared" si="70"/>
        <v>1.2811115119651748E-2</v>
      </c>
      <c r="G762" s="302"/>
      <c r="H762" s="83"/>
      <c r="I762" s="53"/>
      <c r="J762" s="53"/>
      <c r="K762" s="58"/>
    </row>
    <row r="763" spans="1:11" s="3" customFormat="1" ht="12" customHeight="1" x14ac:dyDescent="0.2">
      <c r="A763" s="205"/>
      <c r="B763" s="33" t="s">
        <v>258</v>
      </c>
      <c r="C763" s="11" t="s">
        <v>568</v>
      </c>
      <c r="D763" s="20">
        <v>0.45</v>
      </c>
      <c r="E763" s="44">
        <f>VLOOKUP(B763,'Costo de Materiales'!B$4:D$350,3,FALSE)</f>
        <v>2.7416504065585254E-2</v>
      </c>
      <c r="F763" s="206">
        <f t="shared" si="70"/>
        <v>1.2337426829513365E-2</v>
      </c>
      <c r="G763" s="302"/>
      <c r="H763" s="83"/>
      <c r="I763" s="53"/>
      <c r="J763" s="53"/>
      <c r="K763" s="58"/>
    </row>
    <row r="764" spans="1:11" s="5" customFormat="1" ht="12" customHeight="1" x14ac:dyDescent="0.2">
      <c r="A764" s="211"/>
      <c r="B764" s="188" t="s">
        <v>227</v>
      </c>
      <c r="C764" s="11" t="s">
        <v>17</v>
      </c>
      <c r="D764" s="35">
        <v>6.3E-2</v>
      </c>
      <c r="E764" s="44">
        <f>VLOOKUP(B764,'Costo de Materiales'!B$4:D$350,3,FALSE)</f>
        <v>0.10014440315753916</v>
      </c>
      <c r="F764" s="206">
        <f t="shared" si="70"/>
        <v>6.3090973989249665E-3</v>
      </c>
      <c r="G764" s="302"/>
      <c r="H764" s="83"/>
      <c r="I764" s="53"/>
      <c r="J764" s="53"/>
      <c r="K764" s="75"/>
    </row>
    <row r="765" spans="1:11" s="5" customFormat="1" ht="12" customHeight="1" x14ac:dyDescent="0.2">
      <c r="A765" s="211"/>
      <c r="B765" s="188" t="s">
        <v>298</v>
      </c>
      <c r="C765" s="11" t="s">
        <v>17</v>
      </c>
      <c r="D765" s="35">
        <v>14</v>
      </c>
      <c r="E765" s="44">
        <f>VLOOKUP(B765,'Costo de Materiales'!B$4:D$350,3,FALSE)</f>
        <v>5.7416762441016235E-4</v>
      </c>
      <c r="F765" s="206">
        <f t="shared" si="70"/>
        <v>8.0383467417422735E-3</v>
      </c>
      <c r="G765" s="302"/>
      <c r="H765" s="83"/>
      <c r="I765" s="53"/>
      <c r="J765" s="53"/>
      <c r="K765" s="75"/>
    </row>
    <row r="766" spans="1:11" s="5" customFormat="1" ht="12" customHeight="1" x14ac:dyDescent="0.2">
      <c r="A766" s="211"/>
      <c r="B766" s="188" t="s">
        <v>111</v>
      </c>
      <c r="C766" s="11" t="s">
        <v>11</v>
      </c>
      <c r="D766" s="35">
        <v>0.05</v>
      </c>
      <c r="E766" s="44">
        <f>SUM(F760:F765)</f>
        <v>0.24922984982645782</v>
      </c>
      <c r="F766" s="206">
        <f t="shared" si="70"/>
        <v>1.2461492491322891E-2</v>
      </c>
      <c r="G766" s="302"/>
      <c r="H766" s="83"/>
      <c r="I766" s="53"/>
      <c r="J766" s="53"/>
      <c r="K766" s="75"/>
    </row>
    <row r="767" spans="1:11" s="5" customFormat="1" ht="12" customHeight="1" x14ac:dyDescent="0.2">
      <c r="A767" s="211"/>
      <c r="B767" s="188" t="s">
        <v>83</v>
      </c>
      <c r="C767" s="35" t="s">
        <v>33</v>
      </c>
      <c r="D767" s="35">
        <v>0.05</v>
      </c>
      <c r="E767" s="44">
        <f>VLOOKUP(B767,'Costo de Materiales'!B$4:D$350,3,FALSE)</f>
        <v>0.84211251580157165</v>
      </c>
      <c r="F767" s="206">
        <f t="shared" si="70"/>
        <v>4.2105625790078587E-2</v>
      </c>
      <c r="G767" s="302"/>
      <c r="H767" s="83"/>
      <c r="I767" s="53"/>
      <c r="J767" s="53"/>
      <c r="K767" s="75"/>
    </row>
    <row r="768" spans="1:11" s="5" customFormat="1" ht="12" customHeight="1" x14ac:dyDescent="0.2">
      <c r="A768" s="211"/>
      <c r="B768" s="188" t="s">
        <v>10</v>
      </c>
      <c r="C768" s="35" t="s">
        <v>33</v>
      </c>
      <c r="D768" s="35">
        <v>0.05</v>
      </c>
      <c r="E768" s="44">
        <f>VLOOKUP(B768,'Costo de Materiales'!B$4:D$350,3,FALSE)</f>
        <v>0.35088021491732146</v>
      </c>
      <c r="F768" s="206">
        <f t="shared" si="70"/>
        <v>1.7544010745866073E-2</v>
      </c>
      <c r="G768" s="302"/>
      <c r="H768" s="83"/>
      <c r="I768" s="53"/>
      <c r="J768" s="53"/>
      <c r="K768" s="75"/>
    </row>
    <row r="769" spans="1:11" s="5" customFormat="1" ht="12" customHeight="1" x14ac:dyDescent="0.2">
      <c r="A769" s="212"/>
      <c r="B769" s="26" t="s">
        <v>109</v>
      </c>
      <c r="C769" s="189" t="s">
        <v>11</v>
      </c>
      <c r="D769" s="80">
        <f>VLOOKUP(B769,'Costo de Materiales'!B$4:D$350,3,FALSE)</f>
        <v>0.28999999999999998</v>
      </c>
      <c r="E769" s="45">
        <f>SUM(F767:F768)</f>
        <v>5.9649636535944656E-2</v>
      </c>
      <c r="F769" s="208">
        <f t="shared" si="70"/>
        <v>1.7298394595423948E-2</v>
      </c>
      <c r="G769" s="302"/>
      <c r="H769" s="83"/>
      <c r="I769" s="53"/>
      <c r="J769" s="53"/>
      <c r="K769" s="75"/>
    </row>
    <row r="770" spans="1:11" s="1" customFormat="1" ht="12" customHeight="1" x14ac:dyDescent="0.2">
      <c r="A770" s="209">
        <v>100</v>
      </c>
      <c r="B770" s="93" t="s">
        <v>402</v>
      </c>
      <c r="C770" s="91" t="s">
        <v>38</v>
      </c>
      <c r="D770" s="91"/>
      <c r="E770" s="94"/>
      <c r="F770" s="210">
        <f>SUM(F771:F779)</f>
        <v>0.34433358756199817</v>
      </c>
      <c r="G770" s="303"/>
      <c r="H770" s="83"/>
      <c r="I770" s="53"/>
      <c r="J770" s="53"/>
      <c r="K770" s="62"/>
    </row>
    <row r="771" spans="1:11" s="3" customFormat="1" ht="12" customHeight="1" x14ac:dyDescent="0.2">
      <c r="A771" s="205"/>
      <c r="B771" s="33" t="s">
        <v>255</v>
      </c>
      <c r="C771" s="11" t="s">
        <v>38</v>
      </c>
      <c r="D771" s="20">
        <v>1</v>
      </c>
      <c r="E771" s="44">
        <f>VLOOKUP(B771,'Costo de Materiales'!B$4:D$350,3,FALSE)</f>
        <v>0.20607832986121413</v>
      </c>
      <c r="F771" s="206">
        <f>D771*E771</f>
        <v>0.20607832986121413</v>
      </c>
      <c r="G771" s="302"/>
      <c r="H771" s="83"/>
      <c r="I771" s="53"/>
      <c r="J771" s="53"/>
      <c r="K771" s="58"/>
    </row>
    <row r="772" spans="1:11" s="3" customFormat="1" ht="12" customHeight="1" x14ac:dyDescent="0.2">
      <c r="A772" s="205"/>
      <c r="B772" s="33" t="s">
        <v>256</v>
      </c>
      <c r="C772" s="11" t="s">
        <v>568</v>
      </c>
      <c r="D772" s="20">
        <v>0.6</v>
      </c>
      <c r="E772" s="44">
        <f>VLOOKUP(B772,'Costo de Materiales'!B$4:D$350,3,FALSE)</f>
        <v>2.5646153890320586E-2</v>
      </c>
      <c r="F772" s="206">
        <f t="shared" ref="F772:F779" si="71">D772*E772</f>
        <v>1.5387692334192351E-2</v>
      </c>
      <c r="G772" s="302"/>
      <c r="H772" s="83"/>
      <c r="I772" s="53"/>
      <c r="J772" s="53"/>
      <c r="K772" s="58"/>
    </row>
    <row r="773" spans="1:11" s="3" customFormat="1" ht="12" customHeight="1" x14ac:dyDescent="0.2">
      <c r="A773" s="205"/>
      <c r="B773" s="33" t="s">
        <v>257</v>
      </c>
      <c r="C773" s="11" t="s">
        <v>568</v>
      </c>
      <c r="D773" s="20">
        <v>0.45</v>
      </c>
      <c r="E773" s="44">
        <f>VLOOKUP(B773,'Costo de Materiales'!B$4:D$350,3,FALSE)</f>
        <v>2.8469144710337218E-2</v>
      </c>
      <c r="F773" s="206">
        <f t="shared" si="71"/>
        <v>1.2811115119651748E-2</v>
      </c>
      <c r="G773" s="302"/>
      <c r="H773" s="83"/>
      <c r="I773" s="53"/>
      <c r="J773" s="53"/>
      <c r="K773" s="58"/>
    </row>
    <row r="774" spans="1:11" s="3" customFormat="1" ht="12" customHeight="1" x14ac:dyDescent="0.2">
      <c r="A774" s="205"/>
      <c r="B774" s="33" t="s">
        <v>258</v>
      </c>
      <c r="C774" s="11" t="s">
        <v>568</v>
      </c>
      <c r="D774" s="20">
        <v>0.45</v>
      </c>
      <c r="E774" s="44">
        <f>VLOOKUP(B774,'Costo de Materiales'!B$4:D$350,3,FALSE)</f>
        <v>2.7416504065585254E-2</v>
      </c>
      <c r="F774" s="206">
        <f t="shared" si="71"/>
        <v>1.2337426829513365E-2</v>
      </c>
      <c r="G774" s="302"/>
      <c r="H774" s="83"/>
      <c r="I774" s="53"/>
      <c r="J774" s="53"/>
      <c r="K774" s="58"/>
    </row>
    <row r="775" spans="1:11" s="3" customFormat="1" ht="12" customHeight="1" x14ac:dyDescent="0.2">
      <c r="A775" s="205"/>
      <c r="B775" s="33" t="s">
        <v>298</v>
      </c>
      <c r="C775" s="11" t="s">
        <v>17</v>
      </c>
      <c r="D775" s="20">
        <v>14</v>
      </c>
      <c r="E775" s="44">
        <f>VLOOKUP(B775,'Costo de Materiales'!B$4:D$350,3,FALSE)</f>
        <v>5.7416762441016235E-4</v>
      </c>
      <c r="F775" s="206">
        <f t="shared" si="71"/>
        <v>8.0383467417422735E-3</v>
      </c>
      <c r="G775" s="302"/>
      <c r="H775" s="83"/>
      <c r="I775" s="53"/>
      <c r="J775" s="53"/>
      <c r="K775" s="58"/>
    </row>
    <row r="776" spans="1:11" s="3" customFormat="1" ht="12" customHeight="1" x14ac:dyDescent="0.2">
      <c r="A776" s="205"/>
      <c r="B776" s="33" t="s">
        <v>111</v>
      </c>
      <c r="C776" s="11" t="s">
        <v>11</v>
      </c>
      <c r="D776" s="20">
        <v>0.05</v>
      </c>
      <c r="E776" s="44">
        <f>SUM(F771:F775)</f>
        <v>0.25465291088631387</v>
      </c>
      <c r="F776" s="206">
        <f t="shared" si="71"/>
        <v>1.2732645544315694E-2</v>
      </c>
      <c r="G776" s="302"/>
      <c r="H776" s="83"/>
      <c r="I776" s="53"/>
      <c r="J776" s="53"/>
      <c r="K776" s="58"/>
    </row>
    <row r="777" spans="1:11" s="3" customFormat="1" ht="12" customHeight="1" x14ac:dyDescent="0.2">
      <c r="A777" s="205"/>
      <c r="B777" s="33" t="s">
        <v>83</v>
      </c>
      <c r="C777" s="11" t="s">
        <v>33</v>
      </c>
      <c r="D777" s="20">
        <v>0.05</v>
      </c>
      <c r="E777" s="44">
        <f>VLOOKUP(B777,'Costo de Materiales'!B$4:D$350,3,FALSE)</f>
        <v>0.84211251580157165</v>
      </c>
      <c r="F777" s="206">
        <f t="shared" si="71"/>
        <v>4.2105625790078587E-2</v>
      </c>
      <c r="G777" s="302"/>
      <c r="H777" s="83"/>
      <c r="I777" s="53"/>
      <c r="J777" s="53"/>
      <c r="K777" s="58"/>
    </row>
    <row r="778" spans="1:11" s="3" customFormat="1" ht="12" customHeight="1" x14ac:dyDescent="0.2">
      <c r="A778" s="205"/>
      <c r="B778" s="33" t="s">
        <v>10</v>
      </c>
      <c r="C778" s="20" t="s">
        <v>33</v>
      </c>
      <c r="D778" s="20">
        <v>0.05</v>
      </c>
      <c r="E778" s="44">
        <f>VLOOKUP(B778,'Costo de Materiales'!B$4:D$350,3,FALSE)</f>
        <v>0.35088021491732146</v>
      </c>
      <c r="F778" s="206">
        <f t="shared" si="71"/>
        <v>1.7544010745866073E-2</v>
      </c>
      <c r="G778" s="302"/>
      <c r="H778" s="83"/>
      <c r="I778" s="53"/>
      <c r="J778" s="53"/>
      <c r="K778" s="58"/>
    </row>
    <row r="779" spans="1:11" s="3" customFormat="1" ht="12" customHeight="1" x14ac:dyDescent="0.2">
      <c r="A779" s="207"/>
      <c r="B779" s="31" t="s">
        <v>109</v>
      </c>
      <c r="C779" s="28" t="s">
        <v>11</v>
      </c>
      <c r="D779" s="80">
        <f>VLOOKUP(B779,'Costo de Materiales'!B$4:D$350,3,FALSE)</f>
        <v>0.28999999999999998</v>
      </c>
      <c r="E779" s="45">
        <f>SUM(F777:F778)</f>
        <v>5.9649636535944656E-2</v>
      </c>
      <c r="F779" s="208">
        <f t="shared" si="71"/>
        <v>1.7298394595423948E-2</v>
      </c>
      <c r="G779" s="307"/>
      <c r="H779" s="83"/>
      <c r="I779" s="53"/>
      <c r="J779" s="53"/>
      <c r="K779" s="58"/>
    </row>
    <row r="780" spans="1:11" ht="12" customHeight="1" x14ac:dyDescent="0.2">
      <c r="A780" s="209">
        <v>101</v>
      </c>
      <c r="B780" s="88" t="s">
        <v>373</v>
      </c>
      <c r="C780" s="91" t="s">
        <v>38</v>
      </c>
      <c r="D780" s="91"/>
      <c r="E780" s="94"/>
      <c r="F780" s="210">
        <f>SUM(F781:F786)</f>
        <v>0.21646719923903657</v>
      </c>
      <c r="G780" s="302"/>
      <c r="H780" s="83"/>
      <c r="I780" s="53"/>
      <c r="J780" s="53"/>
    </row>
    <row r="781" spans="1:11" s="3" customFormat="1" ht="12" customHeight="1" x14ac:dyDescent="0.2">
      <c r="A781" s="205"/>
      <c r="B781" s="12" t="s">
        <v>180</v>
      </c>
      <c r="C781" s="11" t="s">
        <v>38</v>
      </c>
      <c r="D781" s="11">
        <v>1</v>
      </c>
      <c r="E781" s="44">
        <f>VLOOKUP(B781,'Costo de Materiales'!B$4:D$350,3,FALSE)</f>
        <v>7.6555683254688325E-2</v>
      </c>
      <c r="F781" s="206">
        <f t="shared" ref="F781:F786" si="72">D781*E781</f>
        <v>7.6555683254688325E-2</v>
      </c>
      <c r="G781" s="302"/>
      <c r="H781" s="83"/>
      <c r="I781" s="53"/>
      <c r="J781" s="53"/>
      <c r="K781" s="58"/>
    </row>
    <row r="782" spans="1:11" s="3" customFormat="1" ht="12" customHeight="1" x14ac:dyDescent="0.2">
      <c r="A782" s="205"/>
      <c r="B782" s="12" t="s">
        <v>282</v>
      </c>
      <c r="C782" s="11" t="s">
        <v>18</v>
      </c>
      <c r="D782" s="11">
        <v>0.03</v>
      </c>
      <c r="E782" s="44">
        <f>VLOOKUP(B782,'Costo de Materiales'!B$4:D$350,3,FALSE)</f>
        <v>0.12425944338276598</v>
      </c>
      <c r="F782" s="206">
        <f t="shared" si="72"/>
        <v>3.7277833014829793E-3</v>
      </c>
      <c r="G782" s="302"/>
      <c r="H782" s="83"/>
      <c r="I782" s="53"/>
      <c r="J782" s="53"/>
      <c r="K782" s="58"/>
    </row>
    <row r="783" spans="1:11" s="3" customFormat="1" ht="12" customHeight="1" x14ac:dyDescent="0.2">
      <c r="A783" s="205"/>
      <c r="B783" s="12" t="s">
        <v>111</v>
      </c>
      <c r="C783" s="11" t="s">
        <v>11</v>
      </c>
      <c r="D783" s="11">
        <v>0.05</v>
      </c>
      <c r="E783" s="44">
        <f>SUM(F781:F782)</f>
        <v>8.0283466556171301E-2</v>
      </c>
      <c r="F783" s="206">
        <f t="shared" si="72"/>
        <v>4.0141733278085652E-3</v>
      </c>
      <c r="G783" s="302"/>
      <c r="H783" s="83"/>
      <c r="I783" s="53"/>
      <c r="J783" s="53"/>
      <c r="K783" s="58"/>
    </row>
    <row r="784" spans="1:11" s="3" customFormat="1" ht="12" customHeight="1" x14ac:dyDescent="0.2">
      <c r="A784" s="205"/>
      <c r="B784" s="12" t="s">
        <v>96</v>
      </c>
      <c r="C784" s="11" t="s">
        <v>33</v>
      </c>
      <c r="D784" s="11">
        <v>0.08</v>
      </c>
      <c r="E784" s="44">
        <f>VLOOKUP(B784,'Costo de Materiales'!B$4:D$350,3,FALSE)</f>
        <v>0.92983256953090243</v>
      </c>
      <c r="F784" s="206">
        <f t="shared" si="72"/>
        <v>7.4386605562472202E-2</v>
      </c>
      <c r="G784" s="302"/>
      <c r="H784" s="83"/>
      <c r="I784" s="53"/>
      <c r="J784" s="53"/>
      <c r="K784" s="58"/>
    </row>
    <row r="785" spans="1:11" s="3" customFormat="1" ht="12" customHeight="1" x14ac:dyDescent="0.2">
      <c r="A785" s="205"/>
      <c r="B785" s="12" t="s">
        <v>10</v>
      </c>
      <c r="C785" s="11" t="s">
        <v>33</v>
      </c>
      <c r="D785" s="11">
        <v>0.08</v>
      </c>
      <c r="E785" s="44">
        <f>VLOOKUP(B785,'Costo de Materiales'!B$4:D$350,3,FALSE)</f>
        <v>0.35088021491732146</v>
      </c>
      <c r="F785" s="206">
        <f t="shared" si="72"/>
        <v>2.8070417193385717E-2</v>
      </c>
      <c r="G785" s="302"/>
      <c r="H785" s="83"/>
      <c r="I785" s="53"/>
      <c r="J785" s="53"/>
      <c r="K785" s="58"/>
    </row>
    <row r="786" spans="1:11" s="3" customFormat="1" ht="12" customHeight="1" x14ac:dyDescent="0.2">
      <c r="A786" s="207"/>
      <c r="B786" s="26" t="s">
        <v>109</v>
      </c>
      <c r="C786" s="23" t="s">
        <v>11</v>
      </c>
      <c r="D786" s="80">
        <f>VLOOKUP(B786,'Costo de Materiales'!B$4:D$350,3,FALSE)</f>
        <v>0.28999999999999998</v>
      </c>
      <c r="E786" s="45">
        <f>SUM(F784:F785)</f>
        <v>0.10245702275585791</v>
      </c>
      <c r="F786" s="208">
        <f t="shared" si="72"/>
        <v>2.9712536599198792E-2</v>
      </c>
      <c r="G786" s="302"/>
      <c r="H786" s="83"/>
      <c r="I786" s="53"/>
      <c r="J786" s="53"/>
      <c r="K786" s="58"/>
    </row>
    <row r="787" spans="1:11" ht="12" customHeight="1" x14ac:dyDescent="0.2">
      <c r="A787" s="209">
        <v>102</v>
      </c>
      <c r="B787" s="88" t="s">
        <v>374</v>
      </c>
      <c r="C787" s="91" t="s">
        <v>38</v>
      </c>
      <c r="D787" s="91"/>
      <c r="E787" s="94"/>
      <c r="F787" s="210">
        <f>SUM(F788:F793)</f>
        <v>0.24661099952057008</v>
      </c>
      <c r="G787" s="303"/>
      <c r="H787" s="83"/>
      <c r="I787" s="53"/>
      <c r="J787" s="53"/>
    </row>
    <row r="788" spans="1:11" s="3" customFormat="1" ht="12" customHeight="1" x14ac:dyDescent="0.2">
      <c r="A788" s="205"/>
      <c r="B788" s="12" t="s">
        <v>181</v>
      </c>
      <c r="C788" s="11" t="s">
        <v>38</v>
      </c>
      <c r="D788" s="11">
        <v>1</v>
      </c>
      <c r="E788" s="44">
        <f>VLOOKUP(B788,'Costo de Materiales'!B$4:D$350,3,FALSE)</f>
        <v>0.10526406447519644</v>
      </c>
      <c r="F788" s="206">
        <f t="shared" ref="F788:F793" si="73">D788*E788</f>
        <v>0.10526406447519644</v>
      </c>
      <c r="G788" s="302"/>
      <c r="H788" s="83"/>
      <c r="I788" s="53"/>
      <c r="J788" s="53"/>
      <c r="K788" s="58"/>
    </row>
    <row r="789" spans="1:11" s="3" customFormat="1" ht="12" customHeight="1" x14ac:dyDescent="0.2">
      <c r="A789" s="205"/>
      <c r="B789" s="12" t="s">
        <v>282</v>
      </c>
      <c r="C789" s="11" t="s">
        <v>18</v>
      </c>
      <c r="D789" s="11">
        <v>0.03</v>
      </c>
      <c r="E789" s="44">
        <f>VLOOKUP(B789,'Costo de Materiales'!B$4:D$350,3,FALSE)</f>
        <v>0.12425944338276598</v>
      </c>
      <c r="F789" s="206">
        <f t="shared" si="73"/>
        <v>3.7277833014829793E-3</v>
      </c>
      <c r="G789" s="302"/>
      <c r="H789" s="83"/>
      <c r="I789" s="53"/>
      <c r="J789" s="53"/>
      <c r="K789" s="58"/>
    </row>
    <row r="790" spans="1:11" s="3" customFormat="1" ht="12" customHeight="1" x14ac:dyDescent="0.2">
      <c r="A790" s="205"/>
      <c r="B790" s="12" t="s">
        <v>111</v>
      </c>
      <c r="C790" s="11" t="s">
        <v>11</v>
      </c>
      <c r="D790" s="11">
        <v>0.05</v>
      </c>
      <c r="E790" s="44">
        <f>SUM(F788:F789)</f>
        <v>0.10899184777667942</v>
      </c>
      <c r="F790" s="206">
        <f t="shared" si="73"/>
        <v>5.4495923888339716E-3</v>
      </c>
      <c r="G790" s="302"/>
      <c r="H790" s="83"/>
      <c r="I790" s="53"/>
      <c r="J790" s="53"/>
      <c r="K790" s="58"/>
    </row>
    <row r="791" spans="1:11" s="3" customFormat="1" ht="12" customHeight="1" x14ac:dyDescent="0.2">
      <c r="A791" s="205"/>
      <c r="B791" s="12" t="s">
        <v>96</v>
      </c>
      <c r="C791" s="11" t="s">
        <v>33</v>
      </c>
      <c r="D791" s="11">
        <v>0.08</v>
      </c>
      <c r="E791" s="44">
        <f>VLOOKUP(B791,'Costo de Materiales'!B$4:D$350,3,FALSE)</f>
        <v>0.92983256953090243</v>
      </c>
      <c r="F791" s="206">
        <f t="shared" si="73"/>
        <v>7.4386605562472202E-2</v>
      </c>
      <c r="G791" s="302"/>
      <c r="H791" s="83"/>
      <c r="I791" s="53"/>
      <c r="J791" s="53"/>
      <c r="K791" s="58"/>
    </row>
    <row r="792" spans="1:11" s="3" customFormat="1" ht="12" customHeight="1" x14ac:dyDescent="0.2">
      <c r="A792" s="205"/>
      <c r="B792" s="12" t="s">
        <v>10</v>
      </c>
      <c r="C792" s="11" t="s">
        <v>33</v>
      </c>
      <c r="D792" s="11">
        <v>0.08</v>
      </c>
      <c r="E792" s="44">
        <f>VLOOKUP(B792,'Costo de Materiales'!B$4:D$350,3,FALSE)</f>
        <v>0.35088021491732146</v>
      </c>
      <c r="F792" s="206">
        <f t="shared" si="73"/>
        <v>2.8070417193385717E-2</v>
      </c>
      <c r="G792" s="302"/>
      <c r="H792" s="83"/>
      <c r="I792" s="53"/>
      <c r="J792" s="53"/>
      <c r="K792" s="58"/>
    </row>
    <row r="793" spans="1:11" s="3" customFormat="1" ht="12" customHeight="1" x14ac:dyDescent="0.2">
      <c r="A793" s="207"/>
      <c r="B793" s="26" t="s">
        <v>109</v>
      </c>
      <c r="C793" s="23" t="s">
        <v>11</v>
      </c>
      <c r="D793" s="80">
        <f>VLOOKUP(B793,'Costo de Materiales'!B$4:D$350,3,FALSE)</f>
        <v>0.28999999999999998</v>
      </c>
      <c r="E793" s="45">
        <f>SUM(F791:F792)</f>
        <v>0.10245702275585791</v>
      </c>
      <c r="F793" s="208">
        <f t="shared" si="73"/>
        <v>2.9712536599198792E-2</v>
      </c>
      <c r="G793" s="307"/>
      <c r="H793" s="83"/>
      <c r="I793" s="53"/>
      <c r="J793" s="53"/>
      <c r="K793" s="58"/>
    </row>
    <row r="794" spans="1:11" ht="12" customHeight="1" x14ac:dyDescent="0.2">
      <c r="A794" s="209">
        <v>103</v>
      </c>
      <c r="B794" s="88" t="s">
        <v>375</v>
      </c>
      <c r="C794" s="91" t="s">
        <v>38</v>
      </c>
      <c r="D794" s="91"/>
      <c r="E794" s="94"/>
      <c r="F794" s="210">
        <f>SUM(F795:F800)</f>
        <v>0.26921884973172022</v>
      </c>
      <c r="G794" s="302"/>
      <c r="H794" s="83"/>
      <c r="I794" s="53"/>
      <c r="J794" s="53"/>
    </row>
    <row r="795" spans="1:11" s="3" customFormat="1" ht="12" customHeight="1" x14ac:dyDescent="0.2">
      <c r="A795" s="205"/>
      <c r="B795" s="12" t="s">
        <v>182</v>
      </c>
      <c r="C795" s="11" t="s">
        <v>38</v>
      </c>
      <c r="D795" s="11">
        <v>1</v>
      </c>
      <c r="E795" s="44">
        <f>VLOOKUP(B795,'Costo de Materiales'!B$4:D$350,3,FALSE)</f>
        <v>0.12679535039057752</v>
      </c>
      <c r="F795" s="206">
        <f t="shared" ref="F795:F800" si="74">D795*E795</f>
        <v>0.12679535039057752</v>
      </c>
      <c r="G795" s="302"/>
      <c r="H795" s="83"/>
      <c r="I795" s="53"/>
      <c r="J795" s="53"/>
      <c r="K795" s="58"/>
    </row>
    <row r="796" spans="1:11" s="3" customFormat="1" ht="12" customHeight="1" x14ac:dyDescent="0.2">
      <c r="A796" s="205"/>
      <c r="B796" s="12" t="s">
        <v>282</v>
      </c>
      <c r="C796" s="11" t="s">
        <v>18</v>
      </c>
      <c r="D796" s="11">
        <v>0.03</v>
      </c>
      <c r="E796" s="44">
        <f>VLOOKUP(B796,'Costo de Materiales'!B$4:D$350,3,FALSE)</f>
        <v>0.12425944338276598</v>
      </c>
      <c r="F796" s="206">
        <f t="shared" si="74"/>
        <v>3.7277833014829793E-3</v>
      </c>
      <c r="G796" s="302"/>
      <c r="H796" s="83"/>
      <c r="I796" s="53"/>
      <c r="J796" s="53"/>
      <c r="K796" s="58"/>
    </row>
    <row r="797" spans="1:11" s="3" customFormat="1" ht="12" customHeight="1" x14ac:dyDescent="0.2">
      <c r="A797" s="205"/>
      <c r="B797" s="12" t="s">
        <v>111</v>
      </c>
      <c r="C797" s="11" t="s">
        <v>11</v>
      </c>
      <c r="D797" s="11">
        <v>0.05</v>
      </c>
      <c r="E797" s="44">
        <f>SUM(F795:F796)</f>
        <v>0.13052313369206051</v>
      </c>
      <c r="F797" s="206">
        <f t="shared" si="74"/>
        <v>6.5261566846030253E-3</v>
      </c>
      <c r="G797" s="302"/>
      <c r="H797" s="83"/>
      <c r="I797" s="53"/>
      <c r="J797" s="53"/>
      <c r="K797" s="58"/>
    </row>
    <row r="798" spans="1:11" s="3" customFormat="1" ht="12" customHeight="1" x14ac:dyDescent="0.2">
      <c r="A798" s="205"/>
      <c r="B798" s="12" t="s">
        <v>96</v>
      </c>
      <c r="C798" s="11" t="s">
        <v>33</v>
      </c>
      <c r="D798" s="11">
        <v>0.08</v>
      </c>
      <c r="E798" s="44">
        <f>VLOOKUP(B798,'Costo de Materiales'!B$4:D$350,3,FALSE)</f>
        <v>0.92983256953090243</v>
      </c>
      <c r="F798" s="206">
        <f t="shared" si="74"/>
        <v>7.4386605562472202E-2</v>
      </c>
      <c r="G798" s="302"/>
      <c r="H798" s="83"/>
      <c r="I798" s="53"/>
      <c r="J798" s="53"/>
      <c r="K798" s="58"/>
    </row>
    <row r="799" spans="1:11" s="3" customFormat="1" ht="12" customHeight="1" x14ac:dyDescent="0.2">
      <c r="A799" s="205"/>
      <c r="B799" s="12" t="s">
        <v>10</v>
      </c>
      <c r="C799" s="11" t="s">
        <v>33</v>
      </c>
      <c r="D799" s="11">
        <v>0.08</v>
      </c>
      <c r="E799" s="44">
        <f>VLOOKUP(B799,'Costo de Materiales'!B$4:D$350,3,FALSE)</f>
        <v>0.35088021491732146</v>
      </c>
      <c r="F799" s="206">
        <f t="shared" si="74"/>
        <v>2.8070417193385717E-2</v>
      </c>
      <c r="G799" s="302"/>
      <c r="H799" s="83"/>
      <c r="I799" s="53"/>
      <c r="J799" s="53"/>
      <c r="K799" s="58"/>
    </row>
    <row r="800" spans="1:11" s="3" customFormat="1" ht="12" customHeight="1" x14ac:dyDescent="0.2">
      <c r="A800" s="207"/>
      <c r="B800" s="26" t="s">
        <v>109</v>
      </c>
      <c r="C800" s="23" t="s">
        <v>11</v>
      </c>
      <c r="D800" s="80">
        <f>VLOOKUP(B800,'Costo de Materiales'!B$4:D$350,3,FALSE)</f>
        <v>0.28999999999999998</v>
      </c>
      <c r="E800" s="45">
        <f>SUM(F798:F799)</f>
        <v>0.10245702275585791</v>
      </c>
      <c r="F800" s="208">
        <f t="shared" si="74"/>
        <v>2.9712536599198792E-2</v>
      </c>
      <c r="G800" s="302"/>
      <c r="H800" s="83"/>
      <c r="I800" s="53"/>
      <c r="J800" s="53"/>
      <c r="K800" s="58"/>
    </row>
    <row r="801" spans="1:11" s="41" customFormat="1" ht="12" customHeight="1" x14ac:dyDescent="0.2">
      <c r="A801" s="209">
        <v>104</v>
      </c>
      <c r="B801" s="88" t="s">
        <v>503</v>
      </c>
      <c r="C801" s="91" t="s">
        <v>38</v>
      </c>
      <c r="D801" s="91"/>
      <c r="E801" s="94"/>
      <c r="F801" s="210">
        <f>SUM(F802:F807)</f>
        <v>0.2767547998021036</v>
      </c>
      <c r="G801" s="303"/>
      <c r="H801" s="83"/>
      <c r="I801" s="53"/>
      <c r="J801" s="53"/>
      <c r="K801" s="66"/>
    </row>
    <row r="802" spans="1:11" s="41" customFormat="1" ht="12" customHeight="1" x14ac:dyDescent="0.2">
      <c r="A802" s="205"/>
      <c r="B802" s="12" t="s">
        <v>504</v>
      </c>
      <c r="C802" s="11" t="s">
        <v>38</v>
      </c>
      <c r="D802" s="11">
        <v>1</v>
      </c>
      <c r="E802" s="44">
        <f>VLOOKUP(B802,'Costo de Materiales'!B$4:D$350,3,FALSE)</f>
        <v>0.13397244569570455</v>
      </c>
      <c r="F802" s="206">
        <f t="shared" ref="F802:F807" si="75">D802*E802</f>
        <v>0.13397244569570455</v>
      </c>
      <c r="G802" s="302"/>
      <c r="H802" s="83"/>
      <c r="I802" s="53"/>
      <c r="J802" s="53"/>
      <c r="K802" s="66"/>
    </row>
    <row r="803" spans="1:11" s="41" customFormat="1" ht="12" customHeight="1" x14ac:dyDescent="0.2">
      <c r="A803" s="205"/>
      <c r="B803" s="12" t="s">
        <v>282</v>
      </c>
      <c r="C803" s="11" t="s">
        <v>18</v>
      </c>
      <c r="D803" s="11">
        <v>0.03</v>
      </c>
      <c r="E803" s="44">
        <f>VLOOKUP(B803,'Costo de Materiales'!B$4:D$350,3,FALSE)</f>
        <v>0.12425944338276598</v>
      </c>
      <c r="F803" s="206">
        <f t="shared" si="75"/>
        <v>3.7277833014829793E-3</v>
      </c>
      <c r="G803" s="302"/>
      <c r="H803" s="83"/>
      <c r="I803" s="53"/>
      <c r="J803" s="53"/>
      <c r="K803" s="66"/>
    </row>
    <row r="804" spans="1:11" s="41" customFormat="1" ht="12" customHeight="1" x14ac:dyDescent="0.2">
      <c r="A804" s="205"/>
      <c r="B804" s="12" t="s">
        <v>111</v>
      </c>
      <c r="C804" s="11" t="s">
        <v>11</v>
      </c>
      <c r="D804" s="11">
        <v>0.05</v>
      </c>
      <c r="E804" s="44">
        <f>SUM(F802:F803)</f>
        <v>0.13770022899718753</v>
      </c>
      <c r="F804" s="206">
        <f t="shared" si="75"/>
        <v>6.8850114498593771E-3</v>
      </c>
      <c r="G804" s="302"/>
      <c r="H804" s="83"/>
      <c r="I804" s="53"/>
      <c r="J804" s="53"/>
      <c r="K804" s="66"/>
    </row>
    <row r="805" spans="1:11" s="41" customFormat="1" ht="12" customHeight="1" x14ac:dyDescent="0.2">
      <c r="A805" s="205"/>
      <c r="B805" s="12" t="s">
        <v>96</v>
      </c>
      <c r="C805" s="11" t="s">
        <v>33</v>
      </c>
      <c r="D805" s="11">
        <v>0.08</v>
      </c>
      <c r="E805" s="44">
        <f>VLOOKUP(B805,'Costo de Materiales'!B$4:D$350,3,FALSE)</f>
        <v>0.92983256953090243</v>
      </c>
      <c r="F805" s="206">
        <f t="shared" si="75"/>
        <v>7.4386605562472202E-2</v>
      </c>
      <c r="G805" s="302"/>
      <c r="H805" s="83"/>
      <c r="I805" s="53"/>
      <c r="J805" s="53"/>
      <c r="K805" s="66"/>
    </row>
    <row r="806" spans="1:11" s="41" customFormat="1" ht="12" customHeight="1" x14ac:dyDescent="0.2">
      <c r="A806" s="205"/>
      <c r="B806" s="12" t="s">
        <v>10</v>
      </c>
      <c r="C806" s="11" t="s">
        <v>33</v>
      </c>
      <c r="D806" s="11">
        <v>0.08</v>
      </c>
      <c r="E806" s="44">
        <f>VLOOKUP(B806,'Costo de Materiales'!B$4:D$350,3,FALSE)</f>
        <v>0.35088021491732146</v>
      </c>
      <c r="F806" s="206">
        <f t="shared" si="75"/>
        <v>2.8070417193385717E-2</v>
      </c>
      <c r="G806" s="302"/>
      <c r="H806" s="83"/>
      <c r="I806" s="53"/>
      <c r="J806" s="53"/>
      <c r="K806" s="66"/>
    </row>
    <row r="807" spans="1:11" s="41" customFormat="1" ht="12" customHeight="1" x14ac:dyDescent="0.2">
      <c r="A807" s="207"/>
      <c r="B807" s="26" t="s">
        <v>109</v>
      </c>
      <c r="C807" s="23" t="s">
        <v>11</v>
      </c>
      <c r="D807" s="80">
        <f>VLOOKUP(B807,'Costo de Materiales'!B$4:D$350,3,FALSE)</f>
        <v>0.28999999999999998</v>
      </c>
      <c r="E807" s="45">
        <f>SUM(F805:F806)</f>
        <v>0.10245702275585791</v>
      </c>
      <c r="F807" s="208">
        <f t="shared" si="75"/>
        <v>2.9712536599198792E-2</v>
      </c>
      <c r="G807" s="307"/>
      <c r="H807" s="83"/>
      <c r="I807" s="53"/>
      <c r="J807" s="53"/>
      <c r="K807" s="66"/>
    </row>
    <row r="808" spans="1:11" s="6" customFormat="1" ht="12" customHeight="1" x14ac:dyDescent="0.2">
      <c r="A808" s="209">
        <v>105</v>
      </c>
      <c r="B808" s="88" t="s">
        <v>144</v>
      </c>
      <c r="C808" s="91" t="s">
        <v>568</v>
      </c>
      <c r="D808" s="91"/>
      <c r="E808" s="92"/>
      <c r="F808" s="210">
        <f>SUM(F809:F815)</f>
        <v>0.19220997528647546</v>
      </c>
      <c r="G808" s="302"/>
      <c r="H808" s="83"/>
      <c r="I808" s="53"/>
      <c r="J808" s="53"/>
      <c r="K808" s="76"/>
    </row>
    <row r="809" spans="1:11" s="12" customFormat="1" ht="12" customHeight="1" x14ac:dyDescent="0.2">
      <c r="A809" s="205"/>
      <c r="B809" s="12" t="s">
        <v>656</v>
      </c>
      <c r="C809" s="11" t="s">
        <v>17</v>
      </c>
      <c r="D809" s="11">
        <v>2.5</v>
      </c>
      <c r="E809" s="44">
        <f>VLOOKUP(B809,'Costo de Materiales'!B$4:D$350,3,FALSE)</f>
        <v>4.1005759445303908E-2</v>
      </c>
      <c r="F809" s="206">
        <f>D809*E809</f>
        <v>0.10251439861325977</v>
      </c>
      <c r="G809" s="302"/>
      <c r="H809" s="83"/>
      <c r="I809" s="53"/>
      <c r="J809" s="53"/>
      <c r="K809" s="74"/>
    </row>
    <row r="810" spans="1:11" s="12" customFormat="1" ht="12" customHeight="1" x14ac:dyDescent="0.2">
      <c r="A810" s="205"/>
      <c r="B810" s="10" t="s">
        <v>8</v>
      </c>
      <c r="C810" s="11" t="s">
        <v>19</v>
      </c>
      <c r="D810" s="11">
        <v>0.25</v>
      </c>
      <c r="E810" s="44">
        <f>VLOOKUP(B810,'Costo de Materiales'!B$4:D$350,3,FALSE)</f>
        <v>0.15330562338073847</v>
      </c>
      <c r="F810" s="206">
        <f t="shared" ref="F810:F815" si="76">D810*E810</f>
        <v>3.8326405845184618E-2</v>
      </c>
      <c r="G810" s="302"/>
      <c r="H810" s="83"/>
      <c r="I810" s="53"/>
      <c r="J810" s="53"/>
      <c r="K810" s="74"/>
    </row>
    <row r="811" spans="1:11" s="12" customFormat="1" ht="12" customHeight="1" x14ac:dyDescent="0.2">
      <c r="A811" s="205"/>
      <c r="B811" s="10" t="s">
        <v>9</v>
      </c>
      <c r="C811" s="11" t="s">
        <v>6</v>
      </c>
      <c r="D811" s="11">
        <v>0.02</v>
      </c>
      <c r="E811" s="44">
        <f>VLOOKUP(B811,'Costo de Materiales'!B$4:D$350,3,FALSE)</f>
        <v>0.31100746322217132</v>
      </c>
      <c r="F811" s="206">
        <f t="shared" si="76"/>
        <v>6.2201492644434267E-3</v>
      </c>
      <c r="G811" s="302"/>
      <c r="H811" s="83"/>
      <c r="I811" s="53"/>
      <c r="J811" s="53"/>
      <c r="K811" s="74"/>
    </row>
    <row r="812" spans="1:11" s="12" customFormat="1" ht="12" customHeight="1" x14ac:dyDescent="0.2">
      <c r="A812" s="205"/>
      <c r="B812" s="10" t="s">
        <v>111</v>
      </c>
      <c r="C812" s="11" t="s">
        <v>11</v>
      </c>
      <c r="D812" s="11">
        <v>0.03</v>
      </c>
      <c r="E812" s="44">
        <f>SUM(F809:F811)</f>
        <v>0.1470609537228878</v>
      </c>
      <c r="F812" s="206">
        <f t="shared" si="76"/>
        <v>4.4118286116866341E-3</v>
      </c>
      <c r="G812" s="302"/>
      <c r="H812" s="83"/>
      <c r="I812" s="53"/>
      <c r="J812" s="53"/>
      <c r="K812" s="74"/>
    </row>
    <row r="813" spans="1:11" s="12" customFormat="1" ht="12" customHeight="1" x14ac:dyDescent="0.2">
      <c r="A813" s="205"/>
      <c r="B813" s="10" t="s">
        <v>95</v>
      </c>
      <c r="C813" s="11" t="s">
        <v>33</v>
      </c>
      <c r="D813" s="11">
        <v>0.03</v>
      </c>
      <c r="E813" s="44">
        <f>VLOOKUP(B813,'Costo de Materiales'!B$4:D$350,3,FALSE)</f>
        <v>0.70176042983464293</v>
      </c>
      <c r="F813" s="206">
        <f t="shared" si="76"/>
        <v>2.1052812895039286E-2</v>
      </c>
      <c r="G813" s="302"/>
      <c r="H813" s="83"/>
      <c r="I813" s="53"/>
      <c r="J813" s="53"/>
      <c r="K813" s="74"/>
    </row>
    <row r="814" spans="1:11" s="12" customFormat="1" ht="12" customHeight="1" x14ac:dyDescent="0.2">
      <c r="A814" s="205"/>
      <c r="B814" s="10" t="s">
        <v>10</v>
      </c>
      <c r="C814" s="11" t="s">
        <v>33</v>
      </c>
      <c r="D814" s="11">
        <v>0.03</v>
      </c>
      <c r="E814" s="44">
        <f>VLOOKUP(B814,'Costo de Materiales'!B$4:D$350,3,FALSE)</f>
        <v>0.35088021491732146</v>
      </c>
      <c r="F814" s="206">
        <f t="shared" si="76"/>
        <v>1.0526406447519643E-2</v>
      </c>
      <c r="G814" s="302"/>
      <c r="H814" s="83"/>
      <c r="I814" s="53"/>
      <c r="J814" s="53"/>
      <c r="K814" s="74"/>
    </row>
    <row r="815" spans="1:11" s="12" customFormat="1" ht="12" customHeight="1" x14ac:dyDescent="0.2">
      <c r="A815" s="207"/>
      <c r="B815" s="22" t="s">
        <v>109</v>
      </c>
      <c r="C815" s="23" t="s">
        <v>11</v>
      </c>
      <c r="D815" s="80">
        <f>VLOOKUP(B815,'Costo de Materiales'!B$4:D$350,3,FALSE)</f>
        <v>0.28999999999999998</v>
      </c>
      <c r="E815" s="45">
        <f>SUM(F813:F814)</f>
        <v>3.1579219342558931E-2</v>
      </c>
      <c r="F815" s="208">
        <f t="shared" si="76"/>
        <v>9.1579736093420887E-3</v>
      </c>
      <c r="G815" s="302"/>
      <c r="H815" s="83"/>
      <c r="I815" s="53"/>
      <c r="J815" s="53"/>
      <c r="K815" s="74"/>
    </row>
    <row r="816" spans="1:11" s="1" customFormat="1" ht="12" customHeight="1" x14ac:dyDescent="0.2">
      <c r="A816" s="209">
        <v>106</v>
      </c>
      <c r="B816" s="93" t="s">
        <v>168</v>
      </c>
      <c r="C816" s="95" t="s">
        <v>568</v>
      </c>
      <c r="D816" s="95"/>
      <c r="E816" s="94"/>
      <c r="F816" s="210">
        <f>SUM(F817:F821)</f>
        <v>5.6501584415556E-2</v>
      </c>
      <c r="G816" s="303"/>
      <c r="H816" s="83"/>
      <c r="I816" s="54"/>
      <c r="J816" s="54"/>
      <c r="K816" s="70"/>
    </row>
    <row r="817" spans="1:11" s="3" customFormat="1" ht="12" customHeight="1" x14ac:dyDescent="0.2">
      <c r="A817" s="205"/>
      <c r="B817" s="17" t="s">
        <v>290</v>
      </c>
      <c r="C817" s="20" t="s">
        <v>17</v>
      </c>
      <c r="D817" s="20">
        <v>0.34</v>
      </c>
      <c r="E817" s="44">
        <f>VLOOKUP(B817,'Costo de Materiales'!B$4:D$350,3,FALSE)</f>
        <v>6.4024901679372234E-2</v>
      </c>
      <c r="F817" s="206">
        <f>D817*E817</f>
        <v>2.176846657098656E-2</v>
      </c>
      <c r="G817" s="302"/>
      <c r="H817" s="83"/>
      <c r="I817" s="54"/>
      <c r="J817" s="54"/>
      <c r="K817" s="65"/>
    </row>
    <row r="818" spans="1:11" s="3" customFormat="1" ht="12" customHeight="1" x14ac:dyDescent="0.2">
      <c r="A818" s="205"/>
      <c r="B818" s="12" t="s">
        <v>71</v>
      </c>
      <c r="C818" s="20" t="s">
        <v>18</v>
      </c>
      <c r="D818" s="20">
        <v>0.03</v>
      </c>
      <c r="E818" s="44">
        <f>VLOOKUP(B818,'Costo de Materiales'!B$4:D$350,3,FALSE)</f>
        <v>4.8230080450453641E-2</v>
      </c>
      <c r="F818" s="206">
        <f>D818*E818</f>
        <v>1.4469024135136091E-3</v>
      </c>
      <c r="G818" s="302"/>
      <c r="H818" s="83"/>
      <c r="I818" s="54"/>
      <c r="J818" s="54"/>
      <c r="K818" s="65"/>
    </row>
    <row r="819" spans="1:11" s="3" customFormat="1" ht="12" customHeight="1" x14ac:dyDescent="0.2">
      <c r="A819" s="205"/>
      <c r="B819" s="15" t="s">
        <v>111</v>
      </c>
      <c r="C819" s="20" t="s">
        <v>11</v>
      </c>
      <c r="D819" s="20">
        <v>0.03</v>
      </c>
      <c r="E819" s="44">
        <f>SUM(F817:F818)</f>
        <v>2.3215368984500169E-2</v>
      </c>
      <c r="F819" s="206">
        <f>D819*E819</f>
        <v>6.9646106953500503E-4</v>
      </c>
      <c r="G819" s="302"/>
      <c r="H819" s="83"/>
      <c r="I819" s="54"/>
      <c r="J819" s="54"/>
      <c r="K819" s="65"/>
    </row>
    <row r="820" spans="1:11" s="3" customFormat="1" ht="12" customHeight="1" x14ac:dyDescent="0.2">
      <c r="A820" s="205"/>
      <c r="B820" s="15" t="s">
        <v>83</v>
      </c>
      <c r="C820" s="20" t="s">
        <v>33</v>
      </c>
      <c r="D820" s="20">
        <v>0.03</v>
      </c>
      <c r="E820" s="44">
        <f>VLOOKUP(B820,'Costo de Materiales'!B$4:D$350,3,FALSE)</f>
        <v>0.84211251580157165</v>
      </c>
      <c r="F820" s="206">
        <f>D820*E820</f>
        <v>2.526337547404715E-2</v>
      </c>
      <c r="G820" s="302"/>
      <c r="H820" s="83"/>
      <c r="I820" s="54"/>
      <c r="J820" s="54"/>
      <c r="K820" s="65"/>
    </row>
    <row r="821" spans="1:11" s="3" customFormat="1" ht="12" customHeight="1" x14ac:dyDescent="0.2">
      <c r="A821" s="207"/>
      <c r="B821" s="27" t="s">
        <v>109</v>
      </c>
      <c r="C821" s="28" t="s">
        <v>11</v>
      </c>
      <c r="D821" s="80">
        <f>VLOOKUP(B821,'Costo de Materiales'!B$4:D$350,3,FALSE)</f>
        <v>0.28999999999999998</v>
      </c>
      <c r="E821" s="45">
        <f>F820</f>
        <v>2.526337547404715E-2</v>
      </c>
      <c r="F821" s="208">
        <f>D821*E821</f>
        <v>7.3263788874736733E-3</v>
      </c>
      <c r="G821" s="307"/>
      <c r="H821" s="83"/>
      <c r="I821" s="54"/>
      <c r="J821" s="54"/>
      <c r="K821" s="65"/>
    </row>
    <row r="822" spans="1:11" s="1" customFormat="1" ht="12" customHeight="1" x14ac:dyDescent="0.2">
      <c r="A822" s="209">
        <v>107</v>
      </c>
      <c r="B822" s="93" t="s">
        <v>167</v>
      </c>
      <c r="C822" s="95" t="s">
        <v>568</v>
      </c>
      <c r="D822" s="95"/>
      <c r="E822" s="94"/>
      <c r="F822" s="210">
        <f>SUM(F823:F827)</f>
        <v>6.2147760628487717E-2</v>
      </c>
      <c r="G822" s="302"/>
      <c r="H822" s="83"/>
      <c r="I822" s="54"/>
      <c r="J822" s="54"/>
      <c r="K822" s="64"/>
    </row>
    <row r="823" spans="1:11" s="3" customFormat="1" ht="12" customHeight="1" x14ac:dyDescent="0.2">
      <c r="A823" s="205"/>
      <c r="B823" s="17" t="s">
        <v>291</v>
      </c>
      <c r="C823" s="20" t="s">
        <v>17</v>
      </c>
      <c r="D823" s="20">
        <v>0.34</v>
      </c>
      <c r="E823" s="44">
        <f>VLOOKUP(B823,'Costo de Materiales'!B$4:D$350,3,FALSE)</f>
        <v>8.0147620734003083E-2</v>
      </c>
      <c r="F823" s="206">
        <f>D823*E823</f>
        <v>2.725019104956105E-2</v>
      </c>
      <c r="G823" s="302"/>
      <c r="H823" s="83"/>
      <c r="I823" s="54"/>
      <c r="J823" s="54"/>
      <c r="K823" s="65"/>
    </row>
    <row r="824" spans="1:11" s="3" customFormat="1" ht="12" customHeight="1" x14ac:dyDescent="0.2">
      <c r="A824" s="205"/>
      <c r="B824" s="12" t="s">
        <v>71</v>
      </c>
      <c r="C824" s="20" t="s">
        <v>18</v>
      </c>
      <c r="D824" s="20">
        <v>0.03</v>
      </c>
      <c r="E824" s="44">
        <f>VLOOKUP(B824,'Costo de Materiales'!B$4:D$350,3,FALSE)</f>
        <v>4.8230080450453641E-2</v>
      </c>
      <c r="F824" s="206">
        <f>D824*E824</f>
        <v>1.4469024135136091E-3</v>
      </c>
      <c r="G824" s="302"/>
      <c r="H824" s="83"/>
      <c r="I824" s="54"/>
      <c r="J824" s="54"/>
      <c r="K824" s="65"/>
    </row>
    <row r="825" spans="1:11" s="3" customFormat="1" ht="12" customHeight="1" x14ac:dyDescent="0.2">
      <c r="A825" s="205"/>
      <c r="B825" s="15" t="s">
        <v>111</v>
      </c>
      <c r="C825" s="20" t="s">
        <v>11</v>
      </c>
      <c r="D825" s="20">
        <v>0.03</v>
      </c>
      <c r="E825" s="44">
        <f>SUM(F823:F824)</f>
        <v>2.8697093463074658E-2</v>
      </c>
      <c r="F825" s="206">
        <f>D825*E825</f>
        <v>8.609128038922397E-4</v>
      </c>
      <c r="G825" s="302"/>
      <c r="H825" s="83"/>
      <c r="I825" s="54"/>
      <c r="J825" s="54"/>
      <c r="K825" s="65"/>
    </row>
    <row r="826" spans="1:11" s="3" customFormat="1" ht="12" customHeight="1" x14ac:dyDescent="0.2">
      <c r="A826" s="205"/>
      <c r="B826" s="15" t="s">
        <v>83</v>
      </c>
      <c r="C826" s="20" t="s">
        <v>33</v>
      </c>
      <c r="D826" s="20">
        <v>0.03</v>
      </c>
      <c r="E826" s="44">
        <f>VLOOKUP(B826,'Costo de Materiales'!B$4:D$350,3,FALSE)</f>
        <v>0.84211251580157165</v>
      </c>
      <c r="F826" s="206">
        <f>D826*E826</f>
        <v>2.526337547404715E-2</v>
      </c>
      <c r="G826" s="302"/>
      <c r="H826" s="83"/>
      <c r="I826" s="54"/>
      <c r="J826" s="54"/>
      <c r="K826" s="65"/>
    </row>
    <row r="827" spans="1:11" s="3" customFormat="1" ht="12" customHeight="1" x14ac:dyDescent="0.2">
      <c r="A827" s="207"/>
      <c r="B827" s="27" t="s">
        <v>109</v>
      </c>
      <c r="C827" s="28" t="s">
        <v>11</v>
      </c>
      <c r="D827" s="80">
        <f>VLOOKUP(B827,'Costo de Materiales'!B$4:D$350,3,FALSE)</f>
        <v>0.28999999999999998</v>
      </c>
      <c r="E827" s="45">
        <f>F826</f>
        <v>2.526337547404715E-2</v>
      </c>
      <c r="F827" s="208">
        <f>D827*E827</f>
        <v>7.3263788874736733E-3</v>
      </c>
      <c r="G827" s="302"/>
      <c r="H827" s="83"/>
      <c r="I827" s="54"/>
      <c r="J827" s="54"/>
      <c r="K827" s="65"/>
    </row>
    <row r="828" spans="1:11" s="1" customFormat="1" ht="12" customHeight="1" x14ac:dyDescent="0.2">
      <c r="A828" s="209">
        <v>108</v>
      </c>
      <c r="B828" s="93" t="s">
        <v>603</v>
      </c>
      <c r="C828" s="95" t="s">
        <v>568</v>
      </c>
      <c r="D828" s="95"/>
      <c r="E828" s="94"/>
      <c r="F828" s="210">
        <f>SUM(F829:F833)</f>
        <v>6.5607267441035483E-2</v>
      </c>
      <c r="G828" s="303"/>
      <c r="H828" s="83"/>
      <c r="I828" s="54"/>
      <c r="J828" s="54"/>
      <c r="K828" s="64"/>
    </row>
    <row r="829" spans="1:11" s="3" customFormat="1" ht="12" customHeight="1" x14ac:dyDescent="0.2">
      <c r="A829" s="205"/>
      <c r="B829" s="17" t="s">
        <v>604</v>
      </c>
      <c r="C829" s="20" t="s">
        <v>17</v>
      </c>
      <c r="D829" s="20">
        <v>0.34</v>
      </c>
      <c r="E829" s="44">
        <f>VLOOKUP(B829,'Costo de Materiales'!B$4:D$350,3,FALSE)</f>
        <v>9.0026280964008124E-2</v>
      </c>
      <c r="F829" s="206">
        <f>D829*E829</f>
        <v>3.0608935527762764E-2</v>
      </c>
      <c r="G829" s="302"/>
      <c r="H829" s="83"/>
      <c r="I829" s="54"/>
      <c r="J829" s="54"/>
      <c r="K829" s="65"/>
    </row>
    <row r="830" spans="1:11" s="3" customFormat="1" ht="12" customHeight="1" x14ac:dyDescent="0.2">
      <c r="A830" s="205"/>
      <c r="B830" s="12" t="s">
        <v>71</v>
      </c>
      <c r="C830" s="20" t="s">
        <v>18</v>
      </c>
      <c r="D830" s="20">
        <v>0.03</v>
      </c>
      <c r="E830" s="44">
        <f>VLOOKUP(B830,'Costo de Materiales'!B$4:D$350,3,FALSE)</f>
        <v>4.8230080450453641E-2</v>
      </c>
      <c r="F830" s="206">
        <f>D830*E830</f>
        <v>1.4469024135136091E-3</v>
      </c>
      <c r="G830" s="302"/>
      <c r="H830" s="83"/>
      <c r="I830" s="54"/>
      <c r="J830" s="54"/>
      <c r="K830" s="65"/>
    </row>
    <row r="831" spans="1:11" s="3" customFormat="1" ht="12" customHeight="1" x14ac:dyDescent="0.2">
      <c r="A831" s="205"/>
      <c r="B831" s="15" t="s">
        <v>111</v>
      </c>
      <c r="C831" s="20" t="s">
        <v>11</v>
      </c>
      <c r="D831" s="20">
        <v>0.03</v>
      </c>
      <c r="E831" s="44">
        <f>SUM(F829:F830)</f>
        <v>3.2055837941276373E-2</v>
      </c>
      <c r="F831" s="206">
        <f>D831*E831</f>
        <v>9.616751382382912E-4</v>
      </c>
      <c r="G831" s="302"/>
      <c r="H831" s="83"/>
      <c r="I831" s="54"/>
      <c r="J831" s="54"/>
      <c r="K831" s="65"/>
    </row>
    <row r="832" spans="1:11" s="3" customFormat="1" ht="12" customHeight="1" x14ac:dyDescent="0.2">
      <c r="A832" s="205"/>
      <c r="B832" s="15" t="s">
        <v>83</v>
      </c>
      <c r="C832" s="20" t="s">
        <v>33</v>
      </c>
      <c r="D832" s="20">
        <v>0.03</v>
      </c>
      <c r="E832" s="44">
        <f>VLOOKUP(B832,'Costo de Materiales'!B$4:D$350,3,FALSE)</f>
        <v>0.84211251580157165</v>
      </c>
      <c r="F832" s="206">
        <f>D832*E832</f>
        <v>2.526337547404715E-2</v>
      </c>
      <c r="G832" s="302"/>
      <c r="H832" s="83"/>
      <c r="I832" s="54"/>
      <c r="J832" s="54"/>
      <c r="K832" s="65"/>
    </row>
    <row r="833" spans="1:11" s="3" customFormat="1" ht="12" customHeight="1" x14ac:dyDescent="0.2">
      <c r="A833" s="207"/>
      <c r="B833" s="27" t="s">
        <v>109</v>
      </c>
      <c r="C833" s="28" t="s">
        <v>11</v>
      </c>
      <c r="D833" s="80">
        <f>VLOOKUP(B833,'Costo de Materiales'!B$4:D$350,3,FALSE)</f>
        <v>0.28999999999999998</v>
      </c>
      <c r="E833" s="45">
        <f>F832</f>
        <v>2.526337547404715E-2</v>
      </c>
      <c r="F833" s="208">
        <f>D833*E833</f>
        <v>7.3263788874736733E-3</v>
      </c>
      <c r="G833" s="307"/>
      <c r="H833" s="83"/>
      <c r="I833" s="54"/>
      <c r="J833" s="54"/>
      <c r="K833" s="65"/>
    </row>
    <row r="834" spans="1:11" ht="12" customHeight="1" x14ac:dyDescent="0.2">
      <c r="A834" s="209">
        <v>109</v>
      </c>
      <c r="B834" s="88" t="s">
        <v>605</v>
      </c>
      <c r="C834" s="91" t="s">
        <v>38</v>
      </c>
      <c r="D834" s="89"/>
      <c r="E834" s="191"/>
      <c r="F834" s="210">
        <f>SUM(F835:F840)</f>
        <v>0.35460306082808174</v>
      </c>
      <c r="G834" s="310"/>
      <c r="H834" s="147"/>
      <c r="I834" s="84"/>
      <c r="K834"/>
    </row>
    <row r="835" spans="1:11" ht="12" customHeight="1" x14ac:dyDescent="0.2">
      <c r="A835" s="211"/>
      <c r="B835" s="12" t="s">
        <v>606</v>
      </c>
      <c r="C835" s="11" t="s">
        <v>17</v>
      </c>
      <c r="D835" s="21">
        <v>0.34</v>
      </c>
      <c r="E835" s="44">
        <f>VLOOKUP(B835,'Costo de Materiales'!B$4:D$350,3,FALSE)</f>
        <v>0.49486496057855395</v>
      </c>
      <c r="F835" s="206">
        <f t="shared" ref="F835:F840" si="77">D835*E835</f>
        <v>0.16825408659670835</v>
      </c>
      <c r="G835" s="310"/>
      <c r="H835" s="147"/>
      <c r="I835" s="84"/>
      <c r="K835"/>
    </row>
    <row r="836" spans="1:11" ht="12" customHeight="1" x14ac:dyDescent="0.2">
      <c r="A836" s="211"/>
      <c r="B836" s="12" t="s">
        <v>72</v>
      </c>
      <c r="C836" s="11" t="s">
        <v>18</v>
      </c>
      <c r="D836" s="11">
        <v>0.11</v>
      </c>
      <c r="E836" s="44">
        <f>VLOOKUP(B836,'Costo de Materiales'!B$4:D$350,3,FALSE)</f>
        <v>5.7033984024742801E-2</v>
      </c>
      <c r="F836" s="206">
        <f t="shared" si="77"/>
        <v>6.2737382427217082E-3</v>
      </c>
      <c r="G836" s="310"/>
      <c r="H836" s="147"/>
      <c r="I836" s="84"/>
      <c r="K836"/>
    </row>
    <row r="837" spans="1:11" ht="12" customHeight="1" x14ac:dyDescent="0.2">
      <c r="A837" s="211"/>
      <c r="B837" s="10" t="s">
        <v>111</v>
      </c>
      <c r="C837" s="11" t="s">
        <v>11</v>
      </c>
      <c r="D837" s="11">
        <v>0.15</v>
      </c>
      <c r="E837" s="48">
        <f>SUM(F835:F836)</f>
        <v>0.17452782483943005</v>
      </c>
      <c r="F837" s="206">
        <f t="shared" si="77"/>
        <v>2.6179173725914506E-2</v>
      </c>
      <c r="G837" s="310"/>
      <c r="H837" s="147"/>
      <c r="I837" s="84"/>
      <c r="K837"/>
    </row>
    <row r="838" spans="1:11" ht="12" customHeight="1" x14ac:dyDescent="0.2">
      <c r="A838" s="211"/>
      <c r="B838" s="10" t="s">
        <v>83</v>
      </c>
      <c r="C838" s="11" t="s">
        <v>33</v>
      </c>
      <c r="D838" s="11">
        <v>0.1</v>
      </c>
      <c r="E838" s="44">
        <f>VLOOKUP(B838,'Costo de Materiales'!B$4:D$350,3,FALSE)</f>
        <v>0.84211251580157165</v>
      </c>
      <c r="F838" s="206">
        <f t="shared" si="77"/>
        <v>8.4211251580157173E-2</v>
      </c>
      <c r="G838" s="310"/>
      <c r="H838" s="147"/>
      <c r="I838" s="84"/>
      <c r="K838"/>
    </row>
    <row r="839" spans="1:11" ht="12" customHeight="1" x14ac:dyDescent="0.2">
      <c r="A839" s="211"/>
      <c r="B839" s="10" t="s">
        <v>10</v>
      </c>
      <c r="C839" s="11" t="s">
        <v>33</v>
      </c>
      <c r="D839" s="11">
        <v>0.1</v>
      </c>
      <c r="E839" s="44">
        <f>VLOOKUP(B839,'Costo de Materiales'!B$4:D$350,3,FALSE)</f>
        <v>0.35088021491732146</v>
      </c>
      <c r="F839" s="206">
        <f t="shared" si="77"/>
        <v>3.5088021491732145E-2</v>
      </c>
      <c r="G839" s="310"/>
      <c r="H839" s="147"/>
      <c r="I839" s="84"/>
      <c r="K839"/>
    </row>
    <row r="840" spans="1:11" ht="12" customHeight="1" x14ac:dyDescent="0.2">
      <c r="A840" s="212"/>
      <c r="B840" s="22" t="s">
        <v>93</v>
      </c>
      <c r="C840" s="23" t="s">
        <v>11</v>
      </c>
      <c r="D840" s="23">
        <v>0.28999999999999998</v>
      </c>
      <c r="E840" s="45">
        <f>SUM(F838:F839)</f>
        <v>0.11929927307188931</v>
      </c>
      <c r="F840" s="208">
        <f t="shared" si="77"/>
        <v>3.4596789190847896E-2</v>
      </c>
      <c r="G840" s="310"/>
      <c r="H840" s="147"/>
      <c r="I840" s="84"/>
      <c r="K840"/>
    </row>
    <row r="841" spans="1:11" ht="12" customHeight="1" x14ac:dyDescent="0.2">
      <c r="A841" s="209">
        <v>110</v>
      </c>
      <c r="B841" s="88" t="s">
        <v>607</v>
      </c>
      <c r="C841" s="91" t="s">
        <v>38</v>
      </c>
      <c r="D841" s="89"/>
      <c r="E841" s="191"/>
      <c r="F841" s="210">
        <f>SUM(F842:F847)</f>
        <v>0.37610219411543894</v>
      </c>
      <c r="G841" s="311"/>
      <c r="H841" s="147"/>
      <c r="I841" s="84"/>
      <c r="K841"/>
    </row>
    <row r="842" spans="1:11" ht="12" customHeight="1" x14ac:dyDescent="0.2">
      <c r="A842" s="211"/>
      <c r="B842" s="12" t="s">
        <v>608</v>
      </c>
      <c r="C842" s="11" t="s">
        <v>17</v>
      </c>
      <c r="D842" s="21">
        <v>0.34</v>
      </c>
      <c r="E842" s="44">
        <f>VLOOKUP(B842,'Costo de Materiales'!B$4:D$350,3,FALSE)</f>
        <v>0.54984995619839327</v>
      </c>
      <c r="F842" s="206">
        <f t="shared" ref="F842:F847" si="78">D842*E842</f>
        <v>0.18694898510745372</v>
      </c>
      <c r="G842" s="310"/>
      <c r="H842" s="147"/>
      <c r="I842" s="84"/>
      <c r="K842"/>
    </row>
    <row r="843" spans="1:11" ht="12" customHeight="1" x14ac:dyDescent="0.2">
      <c r="A843" s="211"/>
      <c r="B843" s="12" t="s">
        <v>72</v>
      </c>
      <c r="C843" s="11" t="s">
        <v>18</v>
      </c>
      <c r="D843" s="11">
        <v>0.11</v>
      </c>
      <c r="E843" s="44">
        <f>VLOOKUP(B843,'Costo de Materiales'!B$4:D$350,3,FALSE)</f>
        <v>5.7033984024742801E-2</v>
      </c>
      <c r="F843" s="206">
        <f t="shared" si="78"/>
        <v>6.2737382427217082E-3</v>
      </c>
      <c r="G843" s="310"/>
      <c r="H843" s="147"/>
      <c r="I843" s="84"/>
      <c r="K843"/>
    </row>
    <row r="844" spans="1:11" ht="12" customHeight="1" x14ac:dyDescent="0.2">
      <c r="A844" s="211"/>
      <c r="B844" s="10" t="s">
        <v>111</v>
      </c>
      <c r="C844" s="11" t="s">
        <v>11</v>
      </c>
      <c r="D844" s="11">
        <v>0.15</v>
      </c>
      <c r="E844" s="48">
        <f>SUM(F842:F843)</f>
        <v>0.19322272335017543</v>
      </c>
      <c r="F844" s="206">
        <f t="shared" si="78"/>
        <v>2.8983408502526314E-2</v>
      </c>
      <c r="G844" s="310"/>
      <c r="H844" s="147"/>
      <c r="I844" s="84"/>
      <c r="K844"/>
    </row>
    <row r="845" spans="1:11" ht="12" customHeight="1" x14ac:dyDescent="0.2">
      <c r="A845" s="211"/>
      <c r="B845" s="10" t="s">
        <v>83</v>
      </c>
      <c r="C845" s="11" t="s">
        <v>33</v>
      </c>
      <c r="D845" s="11">
        <v>0.1</v>
      </c>
      <c r="E845" s="44">
        <f>VLOOKUP(B845,'Costo de Materiales'!B$4:D$350,3,FALSE)</f>
        <v>0.84211251580157165</v>
      </c>
      <c r="F845" s="206">
        <f t="shared" si="78"/>
        <v>8.4211251580157173E-2</v>
      </c>
      <c r="G845" s="310"/>
      <c r="H845" s="147"/>
      <c r="I845" s="84"/>
      <c r="K845"/>
    </row>
    <row r="846" spans="1:11" ht="12" customHeight="1" x14ac:dyDescent="0.2">
      <c r="A846" s="211"/>
      <c r="B846" s="10" t="s">
        <v>10</v>
      </c>
      <c r="C846" s="11" t="s">
        <v>33</v>
      </c>
      <c r="D846" s="11">
        <v>0.1</v>
      </c>
      <c r="E846" s="44">
        <f>VLOOKUP(B846,'Costo de Materiales'!B$4:D$350,3,FALSE)</f>
        <v>0.35088021491732146</v>
      </c>
      <c r="F846" s="206">
        <f t="shared" si="78"/>
        <v>3.5088021491732145E-2</v>
      </c>
      <c r="G846" s="310"/>
      <c r="H846" s="147"/>
      <c r="I846" s="84"/>
      <c r="K846"/>
    </row>
    <row r="847" spans="1:11" ht="12" customHeight="1" x14ac:dyDescent="0.2">
      <c r="A847" s="212"/>
      <c r="B847" s="22" t="s">
        <v>93</v>
      </c>
      <c r="C847" s="23" t="s">
        <v>11</v>
      </c>
      <c r="D847" s="23">
        <v>0.28999999999999998</v>
      </c>
      <c r="E847" s="45">
        <f>SUM(F845:F846)</f>
        <v>0.11929927307188931</v>
      </c>
      <c r="F847" s="208">
        <f t="shared" si="78"/>
        <v>3.4596789190847896E-2</v>
      </c>
      <c r="G847" s="312"/>
      <c r="H847" s="147"/>
      <c r="I847" s="84"/>
      <c r="K847"/>
    </row>
    <row r="848" spans="1:11" ht="12" customHeight="1" x14ac:dyDescent="0.2">
      <c r="A848" s="209">
        <v>111</v>
      </c>
      <c r="B848" s="88" t="s">
        <v>609</v>
      </c>
      <c r="C848" s="91" t="s">
        <v>38</v>
      </c>
      <c r="D848" s="89"/>
      <c r="E848" s="191"/>
      <c r="F848" s="210">
        <f>SUM(F849:F853)</f>
        <v>0.35863183313655356</v>
      </c>
      <c r="G848" s="310"/>
      <c r="H848" s="147"/>
      <c r="I848" s="84"/>
      <c r="K848"/>
    </row>
    <row r="849" spans="1:23" ht="12" customHeight="1" x14ac:dyDescent="0.2">
      <c r="A849" s="211"/>
      <c r="B849" s="12" t="s">
        <v>610</v>
      </c>
      <c r="C849" s="11" t="s">
        <v>17</v>
      </c>
      <c r="D849" s="21">
        <v>0.34</v>
      </c>
      <c r="E849" s="44">
        <f>VLOOKUP(B849,'Costo de Materiales'!B$4:D$350,3,FALSE)</f>
        <v>0.59365156287860432</v>
      </c>
      <c r="F849" s="206">
        <f t="shared" ref="F849:F854" si="79">D849*E849</f>
        <v>0.20184153137872549</v>
      </c>
      <c r="G849" s="310"/>
      <c r="H849" s="147"/>
      <c r="I849" s="84"/>
      <c r="K849"/>
    </row>
    <row r="850" spans="1:23" ht="12" customHeight="1" x14ac:dyDescent="0.2">
      <c r="A850" s="211"/>
      <c r="B850" s="12" t="s">
        <v>72</v>
      </c>
      <c r="C850" s="11" t="s">
        <v>18</v>
      </c>
      <c r="D850" s="11">
        <v>0.11</v>
      </c>
      <c r="E850" s="44">
        <f>VLOOKUP(B850,'Costo de Materiales'!B$4:D$350,3,FALSE)</f>
        <v>5.7033984024742801E-2</v>
      </c>
      <c r="F850" s="206">
        <f t="shared" si="79"/>
        <v>6.2737382427217082E-3</v>
      </c>
      <c r="G850" s="310"/>
      <c r="H850" s="147"/>
      <c r="I850" s="84"/>
      <c r="K850"/>
    </row>
    <row r="851" spans="1:23" ht="12" customHeight="1" x14ac:dyDescent="0.2">
      <c r="A851" s="211"/>
      <c r="B851" s="10" t="s">
        <v>111</v>
      </c>
      <c r="C851" s="11" t="s">
        <v>11</v>
      </c>
      <c r="D851" s="11">
        <v>0.15</v>
      </c>
      <c r="E851" s="48">
        <f>SUM(F849:F850)</f>
        <v>0.20811526962144719</v>
      </c>
      <c r="F851" s="206">
        <f t="shared" si="79"/>
        <v>3.1217290443217076E-2</v>
      </c>
      <c r="G851" s="310"/>
      <c r="H851" s="147"/>
      <c r="I851" s="84"/>
      <c r="K851"/>
    </row>
    <row r="852" spans="1:23" ht="12" customHeight="1" x14ac:dyDescent="0.2">
      <c r="A852" s="211"/>
      <c r="B852" s="10" t="s">
        <v>83</v>
      </c>
      <c r="C852" s="11" t="s">
        <v>33</v>
      </c>
      <c r="D852" s="11">
        <v>0.1</v>
      </c>
      <c r="E852" s="44">
        <f>VLOOKUP(B852,'Costo de Materiales'!B$4:D$350,3,FALSE)</f>
        <v>0.84211251580157165</v>
      </c>
      <c r="F852" s="206">
        <f t="shared" si="79"/>
        <v>8.4211251580157173E-2</v>
      </c>
      <c r="G852" s="310"/>
      <c r="H852" s="147"/>
      <c r="I852" s="84"/>
      <c r="K852"/>
    </row>
    <row r="853" spans="1:23" ht="12" customHeight="1" x14ac:dyDescent="0.2">
      <c r="A853" s="211"/>
      <c r="B853" s="10" t="s">
        <v>10</v>
      </c>
      <c r="C853" s="11" t="s">
        <v>33</v>
      </c>
      <c r="D853" s="11">
        <v>0.1</v>
      </c>
      <c r="E853" s="44">
        <f>VLOOKUP(B853,'Costo de Materiales'!B$4:D$350,3,FALSE)</f>
        <v>0.35088021491732146</v>
      </c>
      <c r="F853" s="206">
        <f t="shared" si="79"/>
        <v>3.5088021491732145E-2</v>
      </c>
      <c r="G853" s="310"/>
      <c r="H853" s="147"/>
      <c r="I853" s="84"/>
      <c r="K853"/>
    </row>
    <row r="854" spans="1:23" ht="12" customHeight="1" thickBot="1" x14ac:dyDescent="0.25">
      <c r="A854" s="236"/>
      <c r="B854" s="268" t="s">
        <v>93</v>
      </c>
      <c r="C854" s="257" t="s">
        <v>11</v>
      </c>
      <c r="D854" s="257">
        <v>0.28999999999999998</v>
      </c>
      <c r="E854" s="258">
        <f>SUM(F852:F853)</f>
        <v>0.11929927307188931</v>
      </c>
      <c r="F854" s="241">
        <f t="shared" si="79"/>
        <v>3.4596789190847896E-2</v>
      </c>
      <c r="G854" s="313"/>
      <c r="H854" s="147"/>
      <c r="I854" s="84"/>
      <c r="K854"/>
    </row>
    <row r="855" spans="1:23" ht="12" customHeight="1" x14ac:dyDescent="0.2">
      <c r="A855" s="6"/>
      <c r="F855" s="4"/>
      <c r="G855" s="314"/>
      <c r="K855" s="78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2" customHeight="1" x14ac:dyDescent="0.2">
      <c r="A856" s="6"/>
      <c r="F856" s="4"/>
      <c r="G856" s="314"/>
      <c r="K856" s="78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2" customHeight="1" thickBot="1" x14ac:dyDescent="0.25">
      <c r="A857" s="6"/>
      <c r="F857" s="4"/>
      <c r="G857" s="314"/>
      <c r="K857" s="78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27.75" customHeight="1" thickBot="1" x14ac:dyDescent="0.3">
      <c r="A858" s="193" t="s">
        <v>672</v>
      </c>
      <c r="B858" s="329" t="s">
        <v>669</v>
      </c>
      <c r="C858" s="330"/>
      <c r="D858" s="330"/>
      <c r="E858" s="330"/>
      <c r="F858" s="331"/>
      <c r="G858" s="315"/>
      <c r="K858" s="78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s="1" customFormat="1" ht="12" customHeight="1" x14ac:dyDescent="0.2">
      <c r="A859" s="209">
        <v>1</v>
      </c>
      <c r="B859" s="93" t="s">
        <v>511</v>
      </c>
      <c r="C859" s="91" t="s">
        <v>38</v>
      </c>
      <c r="D859" s="93"/>
      <c r="E859" s="94"/>
      <c r="F859" s="210">
        <f>SUM(F860:F867)</f>
        <v>0.35755944788041238</v>
      </c>
      <c r="G859" s="316"/>
      <c r="H859" s="145"/>
      <c r="I859" s="54"/>
      <c r="J859" s="54"/>
      <c r="K859" s="61"/>
    </row>
    <row r="860" spans="1:23" s="3" customFormat="1" ht="12" customHeight="1" x14ac:dyDescent="0.2">
      <c r="A860" s="205"/>
      <c r="B860" s="12" t="s">
        <v>285</v>
      </c>
      <c r="C860" s="11" t="s">
        <v>568</v>
      </c>
      <c r="D860" s="11">
        <v>1.67</v>
      </c>
      <c r="E860" s="44">
        <f>VLOOKUP(B860,'Costo de Materiales'!B$4:D$350,3,FALSE)</f>
        <v>3.1770608550695655E-2</v>
      </c>
      <c r="F860" s="206">
        <f>D860*E860</f>
        <v>5.3056916279661741E-2</v>
      </c>
      <c r="G860" s="302"/>
      <c r="H860" s="83"/>
      <c r="I860" s="53"/>
      <c r="J860" s="53"/>
      <c r="K860" s="58"/>
    </row>
    <row r="861" spans="1:23" s="3" customFormat="1" ht="12" customHeight="1" x14ac:dyDescent="0.2">
      <c r="A861" s="205"/>
      <c r="B861" s="12" t="s">
        <v>471</v>
      </c>
      <c r="C861" s="11" t="s">
        <v>17</v>
      </c>
      <c r="D861" s="11">
        <v>2.5</v>
      </c>
      <c r="E861" s="44">
        <f>VLOOKUP(B861,'Costo de Materiales'!B$4:D$350,3,FALSE)</f>
        <v>4.2966877226693817E-2</v>
      </c>
      <c r="F861" s="206">
        <f t="shared" ref="F861:F867" si="80">D861*E861</f>
        <v>0.10741719306673454</v>
      </c>
      <c r="G861" s="302"/>
      <c r="H861" s="83"/>
      <c r="I861" s="53"/>
      <c r="J861" s="53"/>
      <c r="K861" s="58"/>
    </row>
    <row r="862" spans="1:23" s="3" customFormat="1" ht="12" customHeight="1" x14ac:dyDescent="0.2">
      <c r="A862" s="205"/>
      <c r="B862" s="12" t="s">
        <v>73</v>
      </c>
      <c r="C862" s="11" t="s">
        <v>18</v>
      </c>
      <c r="D862" s="11">
        <v>7.0000000000000007E-2</v>
      </c>
      <c r="E862" s="44">
        <f>VLOOKUP(B862,'Costo de Materiales'!B$4:D$350,3,FALSE)</f>
        <v>5.26798795396324E-2</v>
      </c>
      <c r="F862" s="206">
        <f t="shared" si="80"/>
        <v>3.6875915677742682E-3</v>
      </c>
      <c r="G862" s="302"/>
      <c r="H862" s="83"/>
      <c r="I862" s="53"/>
      <c r="J862" s="53"/>
      <c r="K862" s="58"/>
    </row>
    <row r="863" spans="1:23" s="3" customFormat="1" ht="12" customHeight="1" x14ac:dyDescent="0.2">
      <c r="A863" s="205"/>
      <c r="B863" s="12" t="s">
        <v>71</v>
      </c>
      <c r="C863" s="11" t="s">
        <v>18</v>
      </c>
      <c r="D863" s="11">
        <v>0.04</v>
      </c>
      <c r="E863" s="44">
        <f>VLOOKUP(B863,'Costo de Materiales'!B$4:D$350,3,FALSE)</f>
        <v>4.8230080450453641E-2</v>
      </c>
      <c r="F863" s="206">
        <f t="shared" si="80"/>
        <v>1.9292032180181456E-3</v>
      </c>
      <c r="G863" s="302"/>
      <c r="H863" s="83"/>
      <c r="I863" s="53"/>
      <c r="J863" s="53"/>
      <c r="K863" s="58"/>
    </row>
    <row r="864" spans="1:23" s="3" customFormat="1" ht="12" customHeight="1" x14ac:dyDescent="0.2">
      <c r="A864" s="205"/>
      <c r="B864" s="12" t="s">
        <v>111</v>
      </c>
      <c r="C864" s="11" t="s">
        <v>11</v>
      </c>
      <c r="D864" s="11">
        <v>0.03</v>
      </c>
      <c r="E864" s="44">
        <f>SUM(F860:F863)</f>
        <v>0.16609090413218869</v>
      </c>
      <c r="F864" s="206">
        <f t="shared" si="80"/>
        <v>4.9827271239656608E-3</v>
      </c>
      <c r="G864" s="302"/>
      <c r="H864" s="83"/>
      <c r="I864" s="53"/>
      <c r="J864" s="53"/>
      <c r="K864" s="58"/>
    </row>
    <row r="865" spans="1:11" s="3" customFormat="1" ht="12" customHeight="1" x14ac:dyDescent="0.2">
      <c r="A865" s="205"/>
      <c r="B865" s="12" t="s">
        <v>83</v>
      </c>
      <c r="C865" s="11" t="s">
        <v>33</v>
      </c>
      <c r="D865" s="11">
        <v>0.13</v>
      </c>
      <c r="E865" s="44">
        <f>VLOOKUP(B865,'Costo de Materiales'!B$4:D$350,3,FALSE)</f>
        <v>0.84211251580157165</v>
      </c>
      <c r="F865" s="206">
        <f t="shared" si="80"/>
        <v>0.10947462705420431</v>
      </c>
      <c r="G865" s="302"/>
      <c r="H865" s="83"/>
      <c r="I865" s="53"/>
      <c r="J865" s="53"/>
      <c r="K865" s="58"/>
    </row>
    <row r="866" spans="1:11" s="3" customFormat="1" ht="12" customHeight="1" x14ac:dyDescent="0.2">
      <c r="A866" s="205"/>
      <c r="B866" s="10" t="s">
        <v>10</v>
      </c>
      <c r="C866" s="11" t="s">
        <v>33</v>
      </c>
      <c r="D866" s="11">
        <v>0.1</v>
      </c>
      <c r="E866" s="44">
        <f>VLOOKUP(B866,'Costo de Materiales'!B$4:D$350,3,FALSE)</f>
        <v>0.35088021491732146</v>
      </c>
      <c r="F866" s="206">
        <f t="shared" si="80"/>
        <v>3.5088021491732145E-2</v>
      </c>
      <c r="G866" s="302"/>
      <c r="H866" s="83"/>
      <c r="I866" s="53"/>
      <c r="J866" s="53"/>
      <c r="K866" s="58"/>
    </row>
    <row r="867" spans="1:11" s="3" customFormat="1" ht="12" customHeight="1" x14ac:dyDescent="0.2">
      <c r="A867" s="207"/>
      <c r="B867" s="26" t="s">
        <v>109</v>
      </c>
      <c r="C867" s="23" t="s">
        <v>11</v>
      </c>
      <c r="D867" s="80">
        <f>VLOOKUP(B867,'Costo de Materiales'!B$4:D$350,3,FALSE)</f>
        <v>0.28999999999999998</v>
      </c>
      <c r="E867" s="45">
        <f>SUM(F865:F866)</f>
        <v>0.14456264854593645</v>
      </c>
      <c r="F867" s="208">
        <f t="shared" si="80"/>
        <v>4.1923168078321568E-2</v>
      </c>
      <c r="G867" s="302"/>
      <c r="H867" s="83"/>
      <c r="I867" s="53"/>
      <c r="J867" s="53"/>
      <c r="K867" s="58"/>
    </row>
    <row r="868" spans="1:11" s="1" customFormat="1" ht="12" customHeight="1" x14ac:dyDescent="0.2">
      <c r="A868" s="209">
        <v>2</v>
      </c>
      <c r="B868" s="93" t="s">
        <v>243</v>
      </c>
      <c r="C868" s="91" t="s">
        <v>38</v>
      </c>
      <c r="D868" s="89"/>
      <c r="E868" s="94"/>
      <c r="F868" s="210">
        <f>SUM(F869:F873)</f>
        <v>0.15761785986673571</v>
      </c>
      <c r="G868" s="303"/>
      <c r="H868" s="83"/>
      <c r="I868" s="53"/>
      <c r="J868" s="53"/>
      <c r="K868" s="62"/>
    </row>
    <row r="869" spans="1:11" s="1" customFormat="1" ht="12" customHeight="1" x14ac:dyDescent="0.2">
      <c r="A869" s="205"/>
      <c r="B869" s="15" t="s">
        <v>326</v>
      </c>
      <c r="C869" s="11" t="s">
        <v>38</v>
      </c>
      <c r="D869" s="11">
        <v>1</v>
      </c>
      <c r="E869" s="44">
        <f>VLOOKUP(B869,'Costo de Materiales'!B$4:D$350,3,FALSE)</f>
        <v>8.0048536303183468E-2</v>
      </c>
      <c r="F869" s="206">
        <f>D869*E869</f>
        <v>8.0048536303183468E-2</v>
      </c>
      <c r="G869" s="302"/>
      <c r="H869" s="83"/>
      <c r="I869" s="53"/>
      <c r="J869" s="53"/>
      <c r="K869" s="62"/>
    </row>
    <row r="870" spans="1:11" s="1" customFormat="1" ht="12" customHeight="1" x14ac:dyDescent="0.2">
      <c r="A870" s="205"/>
      <c r="B870" s="15" t="s">
        <v>346</v>
      </c>
      <c r="C870" s="11" t="s">
        <v>20</v>
      </c>
      <c r="D870" s="11">
        <v>0.28599999999999998</v>
      </c>
      <c r="E870" s="44">
        <f>VLOOKUP(B870,'Costo de Materiales'!B$4:D$350,3,FALSE)</f>
        <v>0.14512086706966854</v>
      </c>
      <c r="F870" s="206">
        <f>D870*E870</f>
        <v>4.15045679819252E-2</v>
      </c>
      <c r="G870" s="302"/>
      <c r="H870" s="83"/>
      <c r="I870" s="53"/>
      <c r="J870" s="53"/>
      <c r="K870" s="62"/>
    </row>
    <row r="871" spans="1:11" s="14" customFormat="1" ht="12" customHeight="1" x14ac:dyDescent="0.2">
      <c r="A871" s="205"/>
      <c r="B871" s="15" t="s">
        <v>111</v>
      </c>
      <c r="C871" s="11" t="s">
        <v>11</v>
      </c>
      <c r="D871" s="11">
        <v>0.05</v>
      </c>
      <c r="E871" s="44">
        <f>SUM(F869:F870)</f>
        <v>0.12155310428510867</v>
      </c>
      <c r="F871" s="206">
        <f>D871*E871</f>
        <v>6.0776552142554341E-3</v>
      </c>
      <c r="G871" s="302"/>
      <c r="H871" s="83"/>
      <c r="I871" s="53"/>
      <c r="J871" s="53"/>
      <c r="K871" s="63"/>
    </row>
    <row r="872" spans="1:11" s="14" customFormat="1" ht="12" customHeight="1" x14ac:dyDescent="0.2">
      <c r="A872" s="205"/>
      <c r="B872" s="15" t="s">
        <v>96</v>
      </c>
      <c r="C872" s="11" t="s">
        <v>33</v>
      </c>
      <c r="D872" s="11">
        <v>2.5000000000000001E-2</v>
      </c>
      <c r="E872" s="44">
        <f>VLOOKUP(B872,'Costo de Materiales'!B$4:D$350,3,FALSE)</f>
        <v>0.92983256953090243</v>
      </c>
      <c r="F872" s="206">
        <f>D872*E872</f>
        <v>2.3245814238272561E-2</v>
      </c>
      <c r="G872" s="302"/>
      <c r="H872" s="83"/>
      <c r="I872" s="53"/>
      <c r="J872" s="53"/>
      <c r="K872" s="63"/>
    </row>
    <row r="873" spans="1:11" s="14" customFormat="1" ht="12" customHeight="1" x14ac:dyDescent="0.2">
      <c r="A873" s="207"/>
      <c r="B873" s="27" t="s">
        <v>93</v>
      </c>
      <c r="C873" s="23" t="s">
        <v>11</v>
      </c>
      <c r="D873" s="103">
        <f>VLOOKUP(B873,'Costo de Materiales'!B$4:D$350,3,FALSE)</f>
        <v>0.28999999999999998</v>
      </c>
      <c r="E873" s="45">
        <f>F872</f>
        <v>2.3245814238272561E-2</v>
      </c>
      <c r="F873" s="208">
        <f>D873*E873</f>
        <v>6.7412861290990422E-3</v>
      </c>
      <c r="G873" s="307"/>
      <c r="H873" s="83"/>
      <c r="I873" s="53"/>
      <c r="J873" s="53"/>
      <c r="K873" s="63"/>
    </row>
    <row r="874" spans="1:11" s="1" customFormat="1" ht="12" customHeight="1" x14ac:dyDescent="0.2">
      <c r="A874" s="209">
        <v>3</v>
      </c>
      <c r="B874" s="93" t="s">
        <v>244</v>
      </c>
      <c r="C874" s="91" t="s">
        <v>38</v>
      </c>
      <c r="D874" s="91"/>
      <c r="E874" s="94"/>
      <c r="F874" s="210">
        <f>SUM(F875:F879)</f>
        <v>0.21245254743820763</v>
      </c>
      <c r="G874" s="302"/>
      <c r="H874" s="83"/>
      <c r="I874" s="53"/>
      <c r="J874" s="53"/>
      <c r="K874" s="62"/>
    </row>
    <row r="875" spans="1:11" s="14" customFormat="1" ht="12" customHeight="1" x14ac:dyDescent="0.2">
      <c r="A875" s="211"/>
      <c r="B875" s="12" t="s">
        <v>84</v>
      </c>
      <c r="C875" s="11" t="s">
        <v>38</v>
      </c>
      <c r="D875" s="11">
        <v>1</v>
      </c>
      <c r="E875" s="44">
        <f>VLOOKUP(B875,'Costo de Materiales'!B$4:D$350,3,FALSE)</f>
        <v>0.13024035613703849</v>
      </c>
      <c r="F875" s="206">
        <f>D875*E875</f>
        <v>0.13024035613703849</v>
      </c>
      <c r="G875" s="302"/>
      <c r="H875" s="83"/>
      <c r="I875" s="53"/>
      <c r="J875" s="53"/>
      <c r="K875" s="63"/>
    </row>
    <row r="876" spans="1:11" s="14" customFormat="1" ht="12" customHeight="1" x14ac:dyDescent="0.2">
      <c r="A876" s="211"/>
      <c r="B876" s="15" t="s">
        <v>346</v>
      </c>
      <c r="C876" s="11" t="s">
        <v>20</v>
      </c>
      <c r="D876" s="11">
        <v>0.3</v>
      </c>
      <c r="E876" s="44">
        <f>VLOOKUP(B876,'Costo de Materiales'!B$4:D$350,3,FALSE)</f>
        <v>0.14512086706966854</v>
      </c>
      <c r="F876" s="206">
        <f>D876*E876</f>
        <v>4.3536260120900561E-2</v>
      </c>
      <c r="G876" s="302"/>
      <c r="H876" s="83"/>
      <c r="I876" s="53"/>
      <c r="J876" s="53"/>
      <c r="K876" s="63"/>
    </row>
    <row r="877" spans="1:11" s="14" customFormat="1" ht="12" customHeight="1" x14ac:dyDescent="0.2">
      <c r="A877" s="211"/>
      <c r="B877" s="15" t="s">
        <v>111</v>
      </c>
      <c r="C877" s="11" t="s">
        <v>11</v>
      </c>
      <c r="D877" s="11">
        <v>0.05</v>
      </c>
      <c r="E877" s="44">
        <f>SUM(F875:F876)</f>
        <v>0.17377661625793905</v>
      </c>
      <c r="F877" s="206">
        <f>D877*E877</f>
        <v>8.6888308128969527E-3</v>
      </c>
      <c r="G877" s="302"/>
      <c r="H877" s="83"/>
      <c r="I877" s="53"/>
      <c r="J877" s="53"/>
      <c r="K877" s="63"/>
    </row>
    <row r="878" spans="1:11" s="14" customFormat="1" ht="12" customHeight="1" x14ac:dyDescent="0.2">
      <c r="A878" s="211"/>
      <c r="B878" s="15" t="s">
        <v>96</v>
      </c>
      <c r="C878" s="11" t="s">
        <v>33</v>
      </c>
      <c r="D878" s="11">
        <v>2.5000000000000001E-2</v>
      </c>
      <c r="E878" s="44">
        <f>VLOOKUP(B878,'Costo de Materiales'!B$4:D$350,3,FALSE)</f>
        <v>0.92983256953090243</v>
      </c>
      <c r="F878" s="206">
        <f>D878*E878</f>
        <v>2.3245814238272561E-2</v>
      </c>
      <c r="G878" s="302"/>
      <c r="H878" s="83"/>
      <c r="I878" s="53"/>
      <c r="J878" s="53"/>
      <c r="K878" s="63"/>
    </row>
    <row r="879" spans="1:11" s="14" customFormat="1" ht="12" customHeight="1" x14ac:dyDescent="0.2">
      <c r="A879" s="212"/>
      <c r="B879" s="27" t="s">
        <v>93</v>
      </c>
      <c r="C879" s="23" t="s">
        <v>11</v>
      </c>
      <c r="D879" s="80">
        <f>VLOOKUP(B879,'Costo de Materiales'!B$4:D$350,3,FALSE)</f>
        <v>0.28999999999999998</v>
      </c>
      <c r="E879" s="45">
        <f>F878</f>
        <v>2.3245814238272561E-2</v>
      </c>
      <c r="F879" s="208">
        <f>D879*E879</f>
        <v>6.7412861290990422E-3</v>
      </c>
      <c r="G879" s="302"/>
      <c r="H879" s="83"/>
      <c r="I879" s="53"/>
      <c r="J879" s="53"/>
      <c r="K879" s="63"/>
    </row>
    <row r="880" spans="1:11" s="1" customFormat="1" ht="12" customHeight="1" x14ac:dyDescent="0.2">
      <c r="A880" s="209">
        <v>4</v>
      </c>
      <c r="B880" s="93" t="s">
        <v>441</v>
      </c>
      <c r="C880" s="95" t="s">
        <v>568</v>
      </c>
      <c r="D880" s="93"/>
      <c r="E880" s="94"/>
      <c r="F880" s="210">
        <f>SUM(F881:F890)</f>
        <v>0.23891513622123564</v>
      </c>
      <c r="G880" s="304"/>
      <c r="H880" s="145"/>
      <c r="I880" s="54"/>
      <c r="J880" s="54"/>
      <c r="K880" s="64"/>
    </row>
    <row r="881" spans="1:12" s="3" customFormat="1" ht="12" customHeight="1" x14ac:dyDescent="0.2">
      <c r="A881" s="205"/>
      <c r="B881" s="15" t="s">
        <v>550</v>
      </c>
      <c r="C881" s="20" t="s">
        <v>568</v>
      </c>
      <c r="D881" s="20">
        <v>1.1000000000000001</v>
      </c>
      <c r="E881" s="44">
        <f>VLOOKUP(B881,'Costo de Materiales'!B$4:D$350,3,FALSE)</f>
        <v>4.2775488018557101E-2</v>
      </c>
      <c r="F881" s="206">
        <f>D881*E881</f>
        <v>4.7053036820412814E-2</v>
      </c>
      <c r="G881" s="305"/>
      <c r="H881" s="145"/>
      <c r="I881" s="54"/>
      <c r="J881" s="54"/>
      <c r="K881" s="65"/>
      <c r="L881" s="41"/>
    </row>
    <row r="882" spans="1:12" s="3" customFormat="1" ht="12" customHeight="1" x14ac:dyDescent="0.2">
      <c r="A882" s="205"/>
      <c r="B882" s="15" t="s">
        <v>549</v>
      </c>
      <c r="C882" s="20" t="s">
        <v>17</v>
      </c>
      <c r="D882" s="20">
        <v>1</v>
      </c>
      <c r="E882" s="44">
        <f>VLOOKUP(B882,'Costo de Materiales'!B$4:D$350,3,FALSE)</f>
        <v>5.0791224767478702E-2</v>
      </c>
      <c r="F882" s="206">
        <f>D882*E882</f>
        <v>5.0791224767478702E-2</v>
      </c>
      <c r="G882" s="305"/>
      <c r="H882" s="145"/>
      <c r="I882" s="54"/>
      <c r="J882" s="54"/>
      <c r="K882" s="65"/>
      <c r="L882" s="41"/>
    </row>
    <row r="883" spans="1:12" s="3" customFormat="1" ht="12" customHeight="1" x14ac:dyDescent="0.2">
      <c r="A883" s="205"/>
      <c r="B883" s="12" t="s">
        <v>227</v>
      </c>
      <c r="C883" s="20" t="s">
        <v>17</v>
      </c>
      <c r="D883" s="20">
        <v>7.0000000000000007E-2</v>
      </c>
      <c r="E883" s="44">
        <f>VLOOKUP(B883,'Costo de Materiales'!B$4:D$350,3,FALSE)</f>
        <v>0.10014440315753916</v>
      </c>
      <c r="F883" s="206">
        <f t="shared" ref="F883:F890" si="81">D883*E883</f>
        <v>7.0101082210277414E-3</v>
      </c>
      <c r="G883" s="305"/>
      <c r="H883" s="145"/>
      <c r="I883" s="54"/>
      <c r="J883" s="54"/>
      <c r="K883" s="65"/>
    </row>
    <row r="884" spans="1:12" s="3" customFormat="1" ht="12" customHeight="1" x14ac:dyDescent="0.2">
      <c r="A884" s="205"/>
      <c r="B884" s="12" t="s">
        <v>164</v>
      </c>
      <c r="C884" s="20" t="s">
        <v>17</v>
      </c>
      <c r="D884" s="20">
        <v>1</v>
      </c>
      <c r="E884" s="44">
        <f>VLOOKUP(B884,'Costo de Materiales'!B$4:D$350,3,FALSE)</f>
        <v>1.0669948353622184E-2</v>
      </c>
      <c r="F884" s="206">
        <f t="shared" si="81"/>
        <v>1.0669948353622184E-2</v>
      </c>
      <c r="G884" s="305"/>
      <c r="H884" s="145"/>
      <c r="I884" s="54"/>
      <c r="J884" s="54"/>
      <c r="K884" s="65"/>
    </row>
    <row r="885" spans="1:12" s="3" customFormat="1" ht="12" customHeight="1" x14ac:dyDescent="0.2">
      <c r="A885" s="205"/>
      <c r="B885" s="15" t="s">
        <v>301</v>
      </c>
      <c r="C885" s="20" t="s">
        <v>17</v>
      </c>
      <c r="D885" s="20">
        <v>3</v>
      </c>
      <c r="E885" s="109">
        <f>VLOOKUP(B885,'Costo de Materiales'!B$4:D$350,3,FALSE)</f>
        <v>4.6131479375966894E-4</v>
      </c>
      <c r="F885" s="206">
        <f t="shared" si="81"/>
        <v>1.3839443812790069E-3</v>
      </c>
      <c r="G885" s="305"/>
      <c r="H885" s="145"/>
      <c r="I885" s="54"/>
      <c r="J885" s="54"/>
      <c r="K885" s="65"/>
    </row>
    <row r="886" spans="1:12" s="3" customFormat="1" ht="12" customHeight="1" x14ac:dyDescent="0.2">
      <c r="A886" s="205"/>
      <c r="B886" s="12" t="s">
        <v>165</v>
      </c>
      <c r="C886" s="20" t="s">
        <v>17</v>
      </c>
      <c r="D886" s="20">
        <v>3</v>
      </c>
      <c r="E886" s="44">
        <f>VLOOKUP(B886,'Costo de Materiales'!B$4:D$350,3,FALSE)</f>
        <v>8.6125143661524358E-4</v>
      </c>
      <c r="F886" s="206">
        <f t="shared" si="81"/>
        <v>2.5837543098457308E-3</v>
      </c>
      <c r="G886" s="305"/>
      <c r="H886" s="145"/>
      <c r="I886" s="54"/>
      <c r="J886" s="54"/>
      <c r="K886" s="65"/>
    </row>
    <row r="887" spans="1:12" s="3" customFormat="1" ht="12" customHeight="1" x14ac:dyDescent="0.2">
      <c r="A887" s="205"/>
      <c r="B887" s="10" t="s">
        <v>111</v>
      </c>
      <c r="C887" s="20" t="s">
        <v>11</v>
      </c>
      <c r="D887" s="20">
        <v>0.06</v>
      </c>
      <c r="E887" s="44">
        <f>SUM(F881:F886)</f>
        <v>0.11949201685366617</v>
      </c>
      <c r="F887" s="206">
        <f t="shared" si="81"/>
        <v>7.1695210112199701E-3</v>
      </c>
      <c r="G887" s="305"/>
      <c r="H887" s="145"/>
      <c r="I887" s="54"/>
      <c r="J887" s="54"/>
      <c r="K887" s="65"/>
    </row>
    <row r="888" spans="1:12" s="3" customFormat="1" ht="12" customHeight="1" x14ac:dyDescent="0.2">
      <c r="A888" s="205"/>
      <c r="B888" s="12" t="s">
        <v>98</v>
      </c>
      <c r="C888" s="11" t="s">
        <v>33</v>
      </c>
      <c r="D888" s="11">
        <v>0.08</v>
      </c>
      <c r="E888" s="44">
        <f>VLOOKUP(B888,'Costo de Materiales'!B$4:D$350,3,FALSE)</f>
        <v>0.73684845132637522</v>
      </c>
      <c r="F888" s="206">
        <f t="shared" si="81"/>
        <v>5.894787610611002E-2</v>
      </c>
      <c r="G888" s="305"/>
      <c r="H888" s="145"/>
      <c r="I888" s="54"/>
      <c r="J888" s="54"/>
      <c r="K888" s="65"/>
    </row>
    <row r="889" spans="1:12" s="3" customFormat="1" ht="12" customHeight="1" x14ac:dyDescent="0.2">
      <c r="A889" s="205"/>
      <c r="B889" s="12" t="s">
        <v>10</v>
      </c>
      <c r="C889" s="11" t="s">
        <v>33</v>
      </c>
      <c r="D889" s="11">
        <v>0.08</v>
      </c>
      <c r="E889" s="44">
        <f>VLOOKUP(B889,'Costo de Materiales'!B$4:D$350,3,FALSE)</f>
        <v>0.35088021491732146</v>
      </c>
      <c r="F889" s="206">
        <f t="shared" si="81"/>
        <v>2.8070417193385717E-2</v>
      </c>
      <c r="G889" s="305"/>
      <c r="H889" s="145"/>
      <c r="I889" s="54"/>
      <c r="J889" s="54"/>
      <c r="K889" s="65"/>
    </row>
    <row r="890" spans="1:12" s="3" customFormat="1" ht="12" customHeight="1" x14ac:dyDescent="0.2">
      <c r="A890" s="207"/>
      <c r="B890" s="22" t="s">
        <v>109</v>
      </c>
      <c r="C890" s="23" t="s">
        <v>11</v>
      </c>
      <c r="D890" s="103">
        <f>VLOOKUP(B890,'Costo de Materiales'!B$4:D$350,3,FALSE)</f>
        <v>0.28999999999999998</v>
      </c>
      <c r="E890" s="45">
        <f>SUM(F888:F889)</f>
        <v>8.701829329949573E-2</v>
      </c>
      <c r="F890" s="208">
        <f t="shared" si="81"/>
        <v>2.5235305056853761E-2</v>
      </c>
      <c r="G890" s="307"/>
      <c r="H890" s="83"/>
      <c r="I890" s="54"/>
      <c r="J890" s="54"/>
      <c r="K890" s="65"/>
    </row>
    <row r="891" spans="1:12" s="1" customFormat="1" ht="12" customHeight="1" x14ac:dyDescent="0.2">
      <c r="A891" s="209">
        <v>5</v>
      </c>
      <c r="B891" s="93" t="s">
        <v>440</v>
      </c>
      <c r="C891" s="95" t="s">
        <v>568</v>
      </c>
      <c r="D891" s="93"/>
      <c r="E891" s="94"/>
      <c r="F891" s="210">
        <f>SUM(F892:F901)</f>
        <v>0.35577829630049879</v>
      </c>
      <c r="G891" s="304"/>
      <c r="H891" s="145"/>
      <c r="I891" s="54"/>
      <c r="J891" s="54"/>
      <c r="K891" s="64"/>
    </row>
    <row r="892" spans="1:12" s="3" customFormat="1" ht="12" customHeight="1" x14ac:dyDescent="0.2">
      <c r="A892" s="205"/>
      <c r="B892" s="15" t="s">
        <v>548</v>
      </c>
      <c r="C892" s="11" t="s">
        <v>568</v>
      </c>
      <c r="D892" s="20">
        <v>1</v>
      </c>
      <c r="E892" s="44">
        <f>VLOOKUP(B892,'Costo de Materiales'!B$4:D$350,3,FALSE)</f>
        <v>0.13163780731020855</v>
      </c>
      <c r="F892" s="206">
        <f>D892*E892</f>
        <v>0.13163780731020855</v>
      </c>
      <c r="G892" s="305"/>
      <c r="H892" s="145"/>
      <c r="I892" s="54"/>
      <c r="J892" s="54"/>
      <c r="K892" s="65"/>
      <c r="L892" s="41"/>
    </row>
    <row r="893" spans="1:12" s="3" customFormat="1" ht="12" customHeight="1" x14ac:dyDescent="0.2">
      <c r="A893" s="205"/>
      <c r="B893" s="15" t="s">
        <v>544</v>
      </c>
      <c r="C893" s="20" t="s">
        <v>17</v>
      </c>
      <c r="D893" s="20">
        <v>1</v>
      </c>
      <c r="E893" s="44">
        <f>VLOOKUP(B893,'Costo de Materiales'!B$4:D$350,3,FALSE)</f>
        <v>0.10996999123967865</v>
      </c>
      <c r="F893" s="206">
        <f t="shared" ref="F893:F901" si="82">D893*E893</f>
        <v>0.10996999123967865</v>
      </c>
      <c r="G893" s="305"/>
      <c r="H893" s="145"/>
      <c r="I893" s="54"/>
      <c r="J893" s="54"/>
      <c r="K893" s="65"/>
      <c r="L893" s="41"/>
    </row>
    <row r="894" spans="1:12" s="3" customFormat="1" ht="12" customHeight="1" x14ac:dyDescent="0.2">
      <c r="A894" s="205"/>
      <c r="B894" s="15" t="s">
        <v>547</v>
      </c>
      <c r="C894" s="20" t="s">
        <v>17</v>
      </c>
      <c r="D894" s="20">
        <v>1</v>
      </c>
      <c r="E894" s="44">
        <f>VLOOKUP(B894,'Costo de Materiales'!B$4:D$350,3,FALSE)</f>
        <v>3.5789781921566788E-2</v>
      </c>
      <c r="F894" s="206">
        <f t="shared" si="82"/>
        <v>3.5789781921566788E-2</v>
      </c>
      <c r="G894" s="305"/>
      <c r="H894" s="145"/>
      <c r="I894" s="54"/>
      <c r="J894" s="54"/>
      <c r="K894" s="65"/>
    </row>
    <row r="895" spans="1:12" s="3" customFormat="1" ht="12" customHeight="1" x14ac:dyDescent="0.2">
      <c r="A895" s="205"/>
      <c r="B895" s="15" t="s">
        <v>301</v>
      </c>
      <c r="C895" s="20" t="s">
        <v>17</v>
      </c>
      <c r="D895" s="20">
        <v>1</v>
      </c>
      <c r="E895" s="109">
        <f>VLOOKUP(B895,'Costo de Materiales'!B$4:D$350,3,FALSE)</f>
        <v>4.6131479375966894E-4</v>
      </c>
      <c r="F895" s="206">
        <f t="shared" si="82"/>
        <v>4.6131479375966894E-4</v>
      </c>
      <c r="G895" s="305"/>
      <c r="H895" s="145"/>
      <c r="I895" s="54"/>
      <c r="J895" s="54"/>
      <c r="K895" s="65"/>
    </row>
    <row r="896" spans="1:12" s="3" customFormat="1" ht="12" customHeight="1" x14ac:dyDescent="0.2">
      <c r="A896" s="205"/>
      <c r="B896" s="12" t="s">
        <v>165</v>
      </c>
      <c r="C896" s="20" t="s">
        <v>17</v>
      </c>
      <c r="D896" s="20">
        <v>1</v>
      </c>
      <c r="E896" s="44">
        <f>VLOOKUP(B896,'Costo de Materiales'!B$4:D$350,3,FALSE)</f>
        <v>8.6125143661524358E-4</v>
      </c>
      <c r="F896" s="206">
        <f t="shared" si="82"/>
        <v>8.6125143661524358E-4</v>
      </c>
      <c r="G896" s="305"/>
      <c r="H896" s="145"/>
      <c r="I896" s="54"/>
      <c r="J896" s="54"/>
      <c r="K896" s="65"/>
    </row>
    <row r="897" spans="1:11" s="3" customFormat="1" ht="12" customHeight="1" x14ac:dyDescent="0.2">
      <c r="A897" s="205"/>
      <c r="B897" s="12" t="s">
        <v>162</v>
      </c>
      <c r="C897" s="20" t="s">
        <v>17</v>
      </c>
      <c r="D897" s="20">
        <v>0.02</v>
      </c>
      <c r="E897" s="44">
        <f>VLOOKUP(B897,'Costo de Materiales'!B$4:D$350,3,FALSE)</f>
        <v>7.4462731356358683E-2</v>
      </c>
      <c r="F897" s="206">
        <f t="shared" si="82"/>
        <v>1.4892546271271737E-3</v>
      </c>
      <c r="G897" s="305"/>
      <c r="H897" s="145"/>
      <c r="I897" s="54"/>
      <c r="J897" s="54"/>
      <c r="K897" s="65"/>
    </row>
    <row r="898" spans="1:11" s="3" customFormat="1" ht="12" customHeight="1" x14ac:dyDescent="0.2">
      <c r="A898" s="205"/>
      <c r="B898" s="15" t="s">
        <v>111</v>
      </c>
      <c r="C898" s="20" t="s">
        <v>11</v>
      </c>
      <c r="D898" s="20">
        <v>0.05</v>
      </c>
      <c r="E898" s="44">
        <f>SUM(F892:F897)</f>
        <v>0.28020940132895611</v>
      </c>
      <c r="F898" s="206">
        <f t="shared" si="82"/>
        <v>1.4010470066447806E-2</v>
      </c>
      <c r="G898" s="305"/>
      <c r="H898" s="145"/>
      <c r="I898" s="54"/>
      <c r="J898" s="54"/>
      <c r="K898" s="65"/>
    </row>
    <row r="899" spans="1:11" s="3" customFormat="1" ht="12" customHeight="1" x14ac:dyDescent="0.2">
      <c r="A899" s="205"/>
      <c r="B899" s="12" t="s">
        <v>83</v>
      </c>
      <c r="C899" s="11" t="s">
        <v>33</v>
      </c>
      <c r="D899" s="11">
        <v>0.04</v>
      </c>
      <c r="E899" s="44">
        <f>VLOOKUP(B899,'Costo de Materiales'!B$4:D$350,3,FALSE)</f>
        <v>0.84211251580157165</v>
      </c>
      <c r="F899" s="206">
        <f t="shared" si="82"/>
        <v>3.3684500632062866E-2</v>
      </c>
      <c r="G899" s="305"/>
      <c r="H899" s="145"/>
      <c r="I899" s="54"/>
      <c r="J899" s="54"/>
      <c r="K899" s="65"/>
    </row>
    <row r="900" spans="1:11" s="3" customFormat="1" ht="12" customHeight="1" x14ac:dyDescent="0.2">
      <c r="A900" s="205"/>
      <c r="B900" s="12" t="s">
        <v>10</v>
      </c>
      <c r="C900" s="11" t="s">
        <v>33</v>
      </c>
      <c r="D900" s="11">
        <v>0.04</v>
      </c>
      <c r="E900" s="44">
        <f>VLOOKUP(B900,'Costo de Materiales'!B$4:D$350,3,FALSE)</f>
        <v>0.35088021491732146</v>
      </c>
      <c r="F900" s="206">
        <f t="shared" si="82"/>
        <v>1.4035208596692859E-2</v>
      </c>
      <c r="G900" s="305"/>
      <c r="H900" s="145"/>
      <c r="I900" s="54"/>
      <c r="J900" s="54"/>
      <c r="K900" s="65"/>
    </row>
    <row r="901" spans="1:11" s="3" customFormat="1" ht="12" customHeight="1" x14ac:dyDescent="0.2">
      <c r="A901" s="207"/>
      <c r="B901" s="26" t="s">
        <v>109</v>
      </c>
      <c r="C901" s="23" t="s">
        <v>11</v>
      </c>
      <c r="D901" s="103">
        <f>VLOOKUP(B901,'Costo de Materiales'!B$4:D$350,3,FALSE)</f>
        <v>0.28999999999999998</v>
      </c>
      <c r="E901" s="45">
        <f>SUM(F899:F900)</f>
        <v>4.7719709228755722E-2</v>
      </c>
      <c r="F901" s="208">
        <f t="shared" si="82"/>
        <v>1.3838715676339158E-2</v>
      </c>
      <c r="G901" s="317"/>
      <c r="H901" s="145"/>
      <c r="I901" s="54"/>
      <c r="J901" s="54"/>
      <c r="K901" s="65"/>
    </row>
    <row r="902" spans="1:11" ht="12" customHeight="1" x14ac:dyDescent="0.2">
      <c r="A902" s="203">
        <v>6</v>
      </c>
      <c r="B902" s="138" t="s">
        <v>348</v>
      </c>
      <c r="C902" s="139" t="s">
        <v>38</v>
      </c>
      <c r="D902" s="139"/>
      <c r="E902" s="144"/>
      <c r="F902" s="204">
        <f>SUM(F903:F906)</f>
        <v>2.3221740270257162E-2</v>
      </c>
      <c r="G902" s="302"/>
      <c r="H902" s="83"/>
      <c r="I902" s="53"/>
      <c r="J902" s="53"/>
    </row>
    <row r="903" spans="1:11" s="3" customFormat="1" ht="12" customHeight="1" x14ac:dyDescent="0.2">
      <c r="A903" s="205"/>
      <c r="B903" s="12" t="s">
        <v>175</v>
      </c>
      <c r="C903" s="11" t="s">
        <v>38</v>
      </c>
      <c r="D903" s="11">
        <v>1.05</v>
      </c>
      <c r="E903" s="44">
        <f>VLOOKUP(B903,'Costo de Materiales'!B$4:D$350,3,FALSE)</f>
        <v>1.1008648487446645E-2</v>
      </c>
      <c r="F903" s="206">
        <f>D903*E903</f>
        <v>1.1559080911818977E-2</v>
      </c>
      <c r="G903" s="302"/>
      <c r="H903" s="83"/>
      <c r="I903" s="53"/>
      <c r="J903" s="53"/>
      <c r="K903" s="58"/>
    </row>
    <row r="904" spans="1:11" s="3" customFormat="1" ht="12" customHeight="1" x14ac:dyDescent="0.2">
      <c r="A904" s="205"/>
      <c r="B904" s="12" t="s">
        <v>111</v>
      </c>
      <c r="C904" s="11" t="s">
        <v>11</v>
      </c>
      <c r="D904" s="11">
        <v>0.03</v>
      </c>
      <c r="E904" s="44">
        <f>F903</f>
        <v>1.1559080911818977E-2</v>
      </c>
      <c r="F904" s="206">
        <f>D904*E904</f>
        <v>3.4677242735456929E-4</v>
      </c>
      <c r="G904" s="302"/>
      <c r="H904" s="83"/>
      <c r="I904" s="53"/>
      <c r="J904" s="53"/>
      <c r="K904" s="58"/>
    </row>
    <row r="905" spans="1:11" s="3" customFormat="1" ht="12" customHeight="1" x14ac:dyDescent="0.2">
      <c r="A905" s="205"/>
      <c r="B905" s="12" t="s">
        <v>10</v>
      </c>
      <c r="C905" s="11" t="s">
        <v>33</v>
      </c>
      <c r="D905" s="11">
        <v>2.5000000000000001E-2</v>
      </c>
      <c r="E905" s="44">
        <f>VLOOKUP(B905,'Costo de Materiales'!B$4:D$350,3,FALSE)</f>
        <v>0.35088021491732146</v>
      </c>
      <c r="F905" s="206">
        <f>D905*E905</f>
        <v>8.7720053729330363E-3</v>
      </c>
      <c r="G905" s="302"/>
      <c r="H905" s="83"/>
      <c r="I905" s="53"/>
      <c r="J905" s="53"/>
      <c r="K905" s="58"/>
    </row>
    <row r="906" spans="1:11" s="3" customFormat="1" ht="12" customHeight="1" x14ac:dyDescent="0.2">
      <c r="A906" s="207"/>
      <c r="B906" s="26" t="s">
        <v>109</v>
      </c>
      <c r="C906" s="23" t="s">
        <v>11</v>
      </c>
      <c r="D906" s="103">
        <f>VLOOKUP(B906,'Costo de Materiales'!B$4:D$350,3,FALSE)</f>
        <v>0.28999999999999998</v>
      </c>
      <c r="E906" s="45">
        <f>F905</f>
        <v>8.7720053729330363E-3</v>
      </c>
      <c r="F906" s="208">
        <f>D906*E906</f>
        <v>2.5438815581505804E-3</v>
      </c>
      <c r="G906" s="302"/>
      <c r="H906" s="83"/>
      <c r="I906" s="53"/>
      <c r="J906" s="53"/>
      <c r="K906" s="58"/>
    </row>
    <row r="907" spans="1:11" ht="12" customHeight="1" x14ac:dyDescent="0.2">
      <c r="A907" s="209">
        <v>7</v>
      </c>
      <c r="B907" s="88" t="s">
        <v>156</v>
      </c>
      <c r="C907" s="91" t="s">
        <v>568</v>
      </c>
      <c r="D907" s="91"/>
      <c r="E907" s="94"/>
      <c r="F907" s="210">
        <f>SUM(F908:F914)</f>
        <v>0.44588467328738074</v>
      </c>
      <c r="G907" s="303"/>
      <c r="H907" s="83"/>
      <c r="I907" s="53"/>
      <c r="J907" s="53"/>
    </row>
    <row r="908" spans="1:11" s="3" customFormat="1" ht="12" customHeight="1" x14ac:dyDescent="0.2">
      <c r="A908" s="205"/>
      <c r="B908" s="12" t="s">
        <v>157</v>
      </c>
      <c r="C908" s="11" t="s">
        <v>568</v>
      </c>
      <c r="D908" s="21">
        <v>2.2000000000000002</v>
      </c>
      <c r="E908" s="44">
        <f>VLOOKUP(B908,'Costo de Materiales'!B$4:D$350,3,FALSE)</f>
        <v>0.15320101685154128</v>
      </c>
      <c r="F908" s="206">
        <f>D908*E908</f>
        <v>0.33704223707339082</v>
      </c>
      <c r="G908" s="302"/>
      <c r="H908" s="83"/>
      <c r="I908" s="53"/>
      <c r="J908" s="53"/>
      <c r="K908" s="58"/>
    </row>
    <row r="909" spans="1:11" s="3" customFormat="1" ht="12" customHeight="1" x14ac:dyDescent="0.2">
      <c r="A909" s="205"/>
      <c r="B909" s="12" t="s">
        <v>122</v>
      </c>
      <c r="C909" s="11" t="s">
        <v>17</v>
      </c>
      <c r="D909" s="21">
        <v>4</v>
      </c>
      <c r="E909" s="44">
        <f>VLOOKUP(B909,'Costo de Materiales'!B$4:D$350,3,FALSE)</f>
        <v>3.636394954597695E-3</v>
      </c>
      <c r="F909" s="206">
        <f t="shared" ref="F909:F914" si="83">D909*E909</f>
        <v>1.454557981839078E-2</v>
      </c>
      <c r="G909" s="302"/>
      <c r="H909" s="83"/>
      <c r="I909" s="53"/>
      <c r="J909" s="53"/>
      <c r="K909" s="58"/>
    </row>
    <row r="910" spans="1:11" s="3" customFormat="1" ht="12" customHeight="1" x14ac:dyDescent="0.2">
      <c r="A910" s="205"/>
      <c r="B910" s="12" t="s">
        <v>39</v>
      </c>
      <c r="C910" s="11" t="s">
        <v>17</v>
      </c>
      <c r="D910" s="21">
        <v>4</v>
      </c>
      <c r="E910" s="44">
        <f>VLOOKUP(B910,'Costo de Materiales'!B$4:D$350,3,FALSE)</f>
        <v>7.1770953051270296E-4</v>
      </c>
      <c r="F910" s="206">
        <f t="shared" si="83"/>
        <v>2.8708381220508119E-3</v>
      </c>
      <c r="G910" s="302"/>
      <c r="H910" s="83"/>
      <c r="I910" s="53"/>
      <c r="J910" s="53"/>
      <c r="K910" s="58"/>
    </row>
    <row r="911" spans="1:11" s="3" customFormat="1" ht="12" customHeight="1" x14ac:dyDescent="0.2">
      <c r="A911" s="205"/>
      <c r="B911" s="10" t="s">
        <v>111</v>
      </c>
      <c r="C911" s="11" t="s">
        <v>11</v>
      </c>
      <c r="D911" s="11">
        <v>0.06</v>
      </c>
      <c r="E911" s="44">
        <f>SUM(F908:F910)</f>
        <v>0.35445865501383239</v>
      </c>
      <c r="F911" s="206">
        <f t="shared" si="83"/>
        <v>2.1267519300829943E-2</v>
      </c>
      <c r="G911" s="302"/>
      <c r="H911" s="83"/>
      <c r="I911" s="53"/>
      <c r="J911" s="53"/>
      <c r="K911" s="58"/>
    </row>
    <row r="912" spans="1:11" s="3" customFormat="1" ht="12" customHeight="1" x14ac:dyDescent="0.2">
      <c r="A912" s="205"/>
      <c r="B912" s="10" t="s">
        <v>98</v>
      </c>
      <c r="C912" s="11" t="s">
        <v>33</v>
      </c>
      <c r="D912" s="11">
        <v>0.05</v>
      </c>
      <c r="E912" s="44">
        <f>VLOOKUP(B912,'Costo de Materiales'!B$4:D$350,3,FALSE)</f>
        <v>0.73684845132637522</v>
      </c>
      <c r="F912" s="206">
        <f t="shared" si="83"/>
        <v>3.6842422566318762E-2</v>
      </c>
      <c r="G912" s="302"/>
      <c r="H912" s="83"/>
      <c r="I912" s="53"/>
      <c r="J912" s="53"/>
      <c r="K912" s="58"/>
    </row>
    <row r="913" spans="1:12" s="3" customFormat="1" ht="12" customHeight="1" x14ac:dyDescent="0.2">
      <c r="A913" s="205"/>
      <c r="B913" s="10" t="s">
        <v>10</v>
      </c>
      <c r="C913" s="11" t="s">
        <v>33</v>
      </c>
      <c r="D913" s="11">
        <v>0.05</v>
      </c>
      <c r="E913" s="44">
        <f>VLOOKUP(B913,'Costo de Materiales'!B$4:D$350,3,FALSE)</f>
        <v>0.35088021491732146</v>
      </c>
      <c r="F913" s="206">
        <f t="shared" si="83"/>
        <v>1.7544010745866073E-2</v>
      </c>
      <c r="G913" s="302"/>
      <c r="H913" s="83"/>
      <c r="I913" s="53"/>
      <c r="J913" s="53"/>
      <c r="K913" s="58"/>
    </row>
    <row r="914" spans="1:12" s="3" customFormat="1" ht="12" customHeight="1" x14ac:dyDescent="0.2">
      <c r="A914" s="207"/>
      <c r="B914" s="22" t="s">
        <v>109</v>
      </c>
      <c r="C914" s="23" t="s">
        <v>11</v>
      </c>
      <c r="D914" s="80">
        <f>VLOOKUP(B914,'Costo de Materiales'!B$4:D$350,3,FALSE)</f>
        <v>0.28999999999999998</v>
      </c>
      <c r="E914" s="45">
        <f>SUM(F912:F913)</f>
        <v>5.4386433312184831E-2</v>
      </c>
      <c r="F914" s="208">
        <f t="shared" si="83"/>
        <v>1.5772065660533598E-2</v>
      </c>
      <c r="G914" s="307"/>
      <c r="H914" s="83"/>
      <c r="I914" s="53"/>
      <c r="J914" s="53"/>
      <c r="K914" s="58"/>
    </row>
    <row r="915" spans="1:12" ht="12" customHeight="1" x14ac:dyDescent="0.2">
      <c r="A915" s="209">
        <v>8</v>
      </c>
      <c r="B915" s="88" t="s">
        <v>382</v>
      </c>
      <c r="C915" s="91" t="s">
        <v>568</v>
      </c>
      <c r="D915" s="91"/>
      <c r="E915" s="94"/>
      <c r="F915" s="210">
        <f>SUM(F916:F921)</f>
        <v>0.19757592828438084</v>
      </c>
      <c r="G915" s="302"/>
      <c r="H915" s="83"/>
      <c r="I915" s="53"/>
      <c r="J915" s="53"/>
    </row>
    <row r="916" spans="1:12" s="3" customFormat="1" ht="12" customHeight="1" x14ac:dyDescent="0.2">
      <c r="A916" s="205"/>
      <c r="B916" s="12" t="s">
        <v>551</v>
      </c>
      <c r="C916" s="11" t="s">
        <v>568</v>
      </c>
      <c r="D916" s="11">
        <v>1.1000000000000001</v>
      </c>
      <c r="E916" s="44">
        <f>VLOOKUP(B916,'Costo de Materiales'!B$4:D$350,3,FALSE)</f>
        <v>7.3693873366759241E-2</v>
      </c>
      <c r="F916" s="206">
        <f t="shared" ref="F916:F921" si="84">D916*E916</f>
        <v>8.1063260703435169E-2</v>
      </c>
      <c r="G916" s="302"/>
      <c r="H916" s="83"/>
      <c r="I916" s="53"/>
      <c r="J916" s="53"/>
      <c r="K916" s="58"/>
    </row>
    <row r="917" spans="1:12" s="3" customFormat="1" ht="12" customHeight="1" x14ac:dyDescent="0.2">
      <c r="A917" s="205"/>
      <c r="B917" s="10" t="s">
        <v>335</v>
      </c>
      <c r="C917" s="11" t="s">
        <v>17</v>
      </c>
      <c r="D917" s="11">
        <v>12</v>
      </c>
      <c r="E917" s="109">
        <f>VLOOKUP(B917,'Costo de Materiales'!B$4:D$350,3,FALSE)</f>
        <v>3.2618217740582652E-3</v>
      </c>
      <c r="F917" s="206">
        <f t="shared" si="84"/>
        <v>3.9141861288699183E-2</v>
      </c>
      <c r="G917" s="302"/>
      <c r="H917" s="83"/>
      <c r="I917" s="53"/>
      <c r="J917" s="53"/>
      <c r="K917" s="58"/>
    </row>
    <row r="918" spans="1:12" s="3" customFormat="1" ht="12" customHeight="1" x14ac:dyDescent="0.2">
      <c r="A918" s="205"/>
      <c r="B918" s="10" t="s">
        <v>111</v>
      </c>
      <c r="C918" s="11" t="s">
        <v>11</v>
      </c>
      <c r="D918" s="11">
        <v>0.06</v>
      </c>
      <c r="E918" s="44">
        <f>SUM(F916:F917)</f>
        <v>0.12020512199213435</v>
      </c>
      <c r="F918" s="206">
        <f t="shared" si="84"/>
        <v>7.2123073195280605E-3</v>
      </c>
      <c r="G918" s="302"/>
      <c r="H918" s="83"/>
      <c r="I918" s="53"/>
      <c r="J918" s="53"/>
      <c r="K918" s="58"/>
    </row>
    <row r="919" spans="1:12" s="3" customFormat="1" ht="12" customHeight="1" x14ac:dyDescent="0.2">
      <c r="A919" s="205"/>
      <c r="B919" s="10" t="s">
        <v>98</v>
      </c>
      <c r="C919" s="11" t="s">
        <v>33</v>
      </c>
      <c r="D919" s="11">
        <v>0.05</v>
      </c>
      <c r="E919" s="44">
        <f>VLOOKUP(B919,'Costo de Materiales'!B$4:D$350,3,FALSE)</f>
        <v>0.73684845132637522</v>
      </c>
      <c r="F919" s="206">
        <f t="shared" si="84"/>
        <v>3.6842422566318762E-2</v>
      </c>
      <c r="G919" s="302"/>
      <c r="H919" s="83"/>
      <c r="I919" s="53"/>
      <c r="J919" s="53"/>
      <c r="K919" s="58"/>
    </row>
    <row r="920" spans="1:12" s="3" customFormat="1" ht="12" customHeight="1" x14ac:dyDescent="0.2">
      <c r="A920" s="205"/>
      <c r="B920" s="10" t="s">
        <v>10</v>
      </c>
      <c r="C920" s="11" t="s">
        <v>33</v>
      </c>
      <c r="D920" s="11">
        <v>0.05</v>
      </c>
      <c r="E920" s="44">
        <f>VLOOKUP(B920,'Costo de Materiales'!B$4:D$350,3,FALSE)</f>
        <v>0.35088021491732146</v>
      </c>
      <c r="F920" s="206">
        <f t="shared" si="84"/>
        <v>1.7544010745866073E-2</v>
      </c>
      <c r="G920" s="302"/>
      <c r="H920" s="83"/>
      <c r="I920" s="53"/>
      <c r="J920" s="53"/>
      <c r="K920" s="58"/>
    </row>
    <row r="921" spans="1:12" s="3" customFormat="1" ht="12" customHeight="1" x14ac:dyDescent="0.2">
      <c r="A921" s="207"/>
      <c r="B921" s="22" t="s">
        <v>109</v>
      </c>
      <c r="C921" s="23" t="s">
        <v>11</v>
      </c>
      <c r="D921" s="103">
        <f>VLOOKUP(B921,'Costo de Materiales'!B$4:D$350,3,FALSE)</f>
        <v>0.28999999999999998</v>
      </c>
      <c r="E921" s="45">
        <f>SUM(F919:F920)</f>
        <v>5.4386433312184831E-2</v>
      </c>
      <c r="F921" s="208">
        <f t="shared" si="84"/>
        <v>1.5772065660533598E-2</v>
      </c>
      <c r="G921" s="302"/>
      <c r="H921" s="83"/>
      <c r="I921" s="53"/>
      <c r="J921" s="53"/>
      <c r="K921" s="58"/>
    </row>
    <row r="922" spans="1:12" s="1" customFormat="1" ht="12" customHeight="1" x14ac:dyDescent="0.2">
      <c r="A922" s="209">
        <v>9</v>
      </c>
      <c r="B922" s="138" t="s">
        <v>158</v>
      </c>
      <c r="C922" s="139" t="s">
        <v>568</v>
      </c>
      <c r="D922" s="139"/>
      <c r="E922" s="144"/>
      <c r="F922" s="204">
        <f>SUM(F923:F930)</f>
        <v>0.18887930055474045</v>
      </c>
      <c r="G922" s="302"/>
      <c r="H922" s="83"/>
      <c r="I922" s="53"/>
      <c r="J922" s="53"/>
      <c r="K922" s="62"/>
    </row>
    <row r="923" spans="1:12" s="3" customFormat="1" ht="12" customHeight="1" x14ac:dyDescent="0.2">
      <c r="A923" s="205"/>
      <c r="B923" s="12" t="s">
        <v>163</v>
      </c>
      <c r="C923" s="11" t="s">
        <v>568</v>
      </c>
      <c r="D923" s="11">
        <v>1.1000000000000001</v>
      </c>
      <c r="E923" s="44">
        <f>VLOOKUP(B923,'Costo de Materiales'!B$4:D$350,3,FALSE)</f>
        <v>4.6364466645542488E-2</v>
      </c>
      <c r="F923" s="206">
        <f>D923*E923</f>
        <v>5.1000913310096742E-2</v>
      </c>
      <c r="G923" s="305"/>
      <c r="H923" s="145"/>
      <c r="I923" s="53"/>
      <c r="J923" s="53"/>
      <c r="K923" s="58"/>
    </row>
    <row r="924" spans="1:12" s="3" customFormat="1" ht="12" customHeight="1" x14ac:dyDescent="0.2">
      <c r="A924" s="205"/>
      <c r="B924" s="10" t="s">
        <v>335</v>
      </c>
      <c r="C924" s="11" t="s">
        <v>17</v>
      </c>
      <c r="D924" s="11">
        <v>8</v>
      </c>
      <c r="E924" s="109">
        <f>VLOOKUP(B924,'Costo de Materiales'!B$4:D$350,3,FALSE)</f>
        <v>3.2618217740582652E-3</v>
      </c>
      <c r="F924" s="206">
        <f t="shared" ref="F924:F930" si="85">D924*E924</f>
        <v>2.6094574192466122E-2</v>
      </c>
      <c r="G924" s="305"/>
      <c r="H924" s="145"/>
      <c r="I924" s="53"/>
      <c r="J924" s="53"/>
      <c r="K924" s="58"/>
    </row>
    <row r="925" spans="1:12" s="3" customFormat="1" ht="12" customHeight="1" x14ac:dyDescent="0.2">
      <c r="A925" s="205"/>
      <c r="B925" s="145" t="s">
        <v>543</v>
      </c>
      <c r="C925" s="11" t="s">
        <v>17</v>
      </c>
      <c r="D925" s="11">
        <v>0.5</v>
      </c>
      <c r="E925" s="44">
        <f>VLOOKUP(B925,'Costo de Materiales'!B$4:D$350,3,FALSE)</f>
        <v>1.9104956105198412E-2</v>
      </c>
      <c r="F925" s="206">
        <f t="shared" si="85"/>
        <v>9.5524780525992059E-3</v>
      </c>
      <c r="G925" s="305"/>
      <c r="H925" s="145"/>
      <c r="I925" s="53"/>
      <c r="J925" s="53"/>
      <c r="K925" s="58"/>
      <c r="L925" s="41"/>
    </row>
    <row r="926" spans="1:12" s="3" customFormat="1" ht="12" customHeight="1" x14ac:dyDescent="0.2">
      <c r="A926" s="205"/>
      <c r="B926" s="12" t="s">
        <v>553</v>
      </c>
      <c r="C926" s="11" t="s">
        <v>17</v>
      </c>
      <c r="D926" s="11">
        <v>2</v>
      </c>
      <c r="E926" s="44">
        <f>VLOOKUP(B926,'Costo de Materiales'!B$4:D$350,3,FALSE)</f>
        <v>6.0576690089653501E-3</v>
      </c>
      <c r="F926" s="206">
        <f t="shared" si="85"/>
        <v>1.21153380179307E-2</v>
      </c>
      <c r="G926" s="305"/>
      <c r="H926" s="145"/>
      <c r="I926" s="53"/>
      <c r="J926" s="53"/>
      <c r="K926" s="58"/>
    </row>
    <row r="927" spans="1:12" s="3" customFormat="1" ht="12" customHeight="1" x14ac:dyDescent="0.2">
      <c r="A927" s="205"/>
      <c r="B927" s="12" t="s">
        <v>111</v>
      </c>
      <c r="C927" s="11" t="s">
        <v>11</v>
      </c>
      <c r="D927" s="11">
        <v>0.06</v>
      </c>
      <c r="E927" s="44">
        <f>SUM(F923:F926)</f>
        <v>9.8763303573092778E-2</v>
      </c>
      <c r="F927" s="206">
        <f t="shared" si="85"/>
        <v>5.9257982143855661E-3</v>
      </c>
      <c r="G927" s="305"/>
      <c r="H927" s="145"/>
      <c r="I927" s="53"/>
      <c r="J927" s="53"/>
      <c r="K927" s="58"/>
    </row>
    <row r="928" spans="1:12" s="3" customFormat="1" ht="12" customHeight="1" x14ac:dyDescent="0.2">
      <c r="A928" s="205"/>
      <c r="B928" s="12" t="s">
        <v>98</v>
      </c>
      <c r="C928" s="11" t="s">
        <v>33</v>
      </c>
      <c r="D928" s="11">
        <v>0.06</v>
      </c>
      <c r="E928" s="44">
        <f>VLOOKUP(B928,'Costo de Materiales'!B$4:D$350,3,FALSE)</f>
        <v>0.73684845132637522</v>
      </c>
      <c r="F928" s="206">
        <f t="shared" si="85"/>
        <v>4.4210907079582515E-2</v>
      </c>
      <c r="G928" s="305"/>
      <c r="H928" s="145"/>
      <c r="I928" s="53"/>
      <c r="J928" s="53"/>
      <c r="K928" s="58"/>
    </row>
    <row r="929" spans="1:12" s="3" customFormat="1" ht="12" customHeight="1" x14ac:dyDescent="0.2">
      <c r="A929" s="205"/>
      <c r="B929" s="12" t="s">
        <v>10</v>
      </c>
      <c r="C929" s="11" t="s">
        <v>33</v>
      </c>
      <c r="D929" s="11">
        <v>0.06</v>
      </c>
      <c r="E929" s="44">
        <f>VLOOKUP(B929,'Costo de Materiales'!B$4:D$350,3,FALSE)</f>
        <v>0.35088021491732146</v>
      </c>
      <c r="F929" s="206">
        <f t="shared" si="85"/>
        <v>2.1052812895039286E-2</v>
      </c>
      <c r="G929" s="305"/>
      <c r="H929" s="145"/>
      <c r="I929" s="53"/>
      <c r="J929" s="53"/>
      <c r="K929" s="58"/>
    </row>
    <row r="930" spans="1:12" s="3" customFormat="1" ht="12" customHeight="1" x14ac:dyDescent="0.2">
      <c r="A930" s="207"/>
      <c r="B930" s="26" t="s">
        <v>109</v>
      </c>
      <c r="C930" s="23" t="s">
        <v>11</v>
      </c>
      <c r="D930" s="80">
        <f>VLOOKUP(B930,'Costo de Materiales'!B$4:D$350,3,FALSE)</f>
        <v>0.28999999999999998</v>
      </c>
      <c r="E930" s="45">
        <f>SUM(F928:F929)</f>
        <v>6.5263719974621798E-2</v>
      </c>
      <c r="F930" s="208">
        <f t="shared" si="85"/>
        <v>1.8926478792640321E-2</v>
      </c>
      <c r="G930" s="305"/>
      <c r="H930" s="145"/>
      <c r="I930" s="54"/>
      <c r="J930" s="54"/>
      <c r="K930" s="61"/>
    </row>
    <row r="931" spans="1:12" s="1" customFormat="1" ht="12" customHeight="1" x14ac:dyDescent="0.2">
      <c r="A931" s="209">
        <v>10</v>
      </c>
      <c r="B931" s="88" t="s">
        <v>436</v>
      </c>
      <c r="C931" s="91" t="s">
        <v>568</v>
      </c>
      <c r="D931" s="91"/>
      <c r="E931" s="94"/>
      <c r="F931" s="210">
        <f>SUM(F932:F941)</f>
        <v>0.20011794722920179</v>
      </c>
      <c r="G931" s="303"/>
      <c r="H931" s="83"/>
      <c r="I931" s="53"/>
      <c r="J931" s="53"/>
      <c r="K931" s="62"/>
    </row>
    <row r="932" spans="1:12" s="3" customFormat="1" ht="12" customHeight="1" x14ac:dyDescent="0.2">
      <c r="A932" s="205"/>
      <c r="B932" s="12" t="s">
        <v>541</v>
      </c>
      <c r="C932" s="11" t="s">
        <v>568</v>
      </c>
      <c r="D932" s="11">
        <v>1.1000000000000001</v>
      </c>
      <c r="E932" s="44">
        <f>VLOOKUP(B932,'Costo de Materiales'!B$4:D$350,3,FALSE)</f>
        <v>4.4151087584574374E-2</v>
      </c>
      <c r="F932" s="206">
        <f>D932*E932</f>
        <v>4.8566196343031817E-2</v>
      </c>
      <c r="G932" s="302"/>
      <c r="H932" s="83"/>
      <c r="I932" s="53"/>
      <c r="J932" s="53"/>
      <c r="K932" s="58"/>
    </row>
    <row r="933" spans="1:12" s="3" customFormat="1" ht="12" customHeight="1" x14ac:dyDescent="0.2">
      <c r="A933" s="205"/>
      <c r="B933" s="12" t="s">
        <v>159</v>
      </c>
      <c r="C933" s="11" t="s">
        <v>17</v>
      </c>
      <c r="D933" s="11">
        <v>0.125</v>
      </c>
      <c r="E933" s="44">
        <f>VLOOKUP(B933,'Costo de Materiales'!B$4:D$350,3,FALSE)</f>
        <v>3.3550166818885015E-2</v>
      </c>
      <c r="F933" s="206">
        <f t="shared" ref="F933:F941" si="86">D933*E933</f>
        <v>4.1937708523606268E-3</v>
      </c>
      <c r="G933" s="302"/>
      <c r="H933" s="83"/>
      <c r="I933" s="53"/>
      <c r="J933" s="53"/>
      <c r="K933" s="58"/>
    </row>
    <row r="934" spans="1:12" s="3" customFormat="1" ht="12" customHeight="1" x14ac:dyDescent="0.2">
      <c r="A934" s="205"/>
      <c r="B934" s="12" t="s">
        <v>160</v>
      </c>
      <c r="C934" s="11" t="s">
        <v>17</v>
      </c>
      <c r="D934" s="11">
        <v>0.25</v>
      </c>
      <c r="E934" s="44">
        <f>VLOOKUP(B934,'Costo de Materiales'!B$4:D$350,3,FALSE)</f>
        <v>3.3060893552776277E-2</v>
      </c>
      <c r="F934" s="206">
        <f t="shared" si="86"/>
        <v>8.2652233881940693E-3</v>
      </c>
      <c r="G934" s="302"/>
      <c r="H934" s="83"/>
      <c r="I934" s="53"/>
      <c r="J934" s="53"/>
      <c r="K934" s="58"/>
    </row>
    <row r="935" spans="1:12" s="3" customFormat="1" ht="12" customHeight="1" x14ac:dyDescent="0.2">
      <c r="A935" s="205"/>
      <c r="B935" s="12" t="s">
        <v>162</v>
      </c>
      <c r="C935" s="11" t="s">
        <v>17</v>
      </c>
      <c r="D935" s="11">
        <v>0.02</v>
      </c>
      <c r="E935" s="44">
        <f>VLOOKUP(B935,'Costo de Materiales'!B$4:D$350,3,FALSE)</f>
        <v>7.4462731356358683E-2</v>
      </c>
      <c r="F935" s="206">
        <f t="shared" si="86"/>
        <v>1.4892546271271737E-3</v>
      </c>
      <c r="G935" s="302"/>
      <c r="H935" s="83"/>
      <c r="I935" s="53"/>
      <c r="J935" s="53"/>
      <c r="K935" s="58"/>
    </row>
    <row r="936" spans="1:12" s="3" customFormat="1" ht="12" customHeight="1" x14ac:dyDescent="0.2">
      <c r="A936" s="205"/>
      <c r="B936" s="12" t="s">
        <v>542</v>
      </c>
      <c r="C936" s="11" t="s">
        <v>17</v>
      </c>
      <c r="D936" s="11">
        <v>2</v>
      </c>
      <c r="E936" s="44">
        <f>VLOOKUP(B936,'Costo de Materiales'!B$4:D$350,3,FALSE)</f>
        <v>4.6131479375966893E-2</v>
      </c>
      <c r="F936" s="206">
        <f t="shared" si="86"/>
        <v>9.2262958751933785E-2</v>
      </c>
      <c r="G936" s="302"/>
      <c r="H936" s="83"/>
      <c r="I936" s="53"/>
      <c r="J936" s="53"/>
      <c r="K936" s="58"/>
    </row>
    <row r="937" spans="1:12" s="3" customFormat="1" ht="12" customHeight="1" x14ac:dyDescent="0.2">
      <c r="A937" s="205"/>
      <c r="B937" s="12" t="s">
        <v>161</v>
      </c>
      <c r="C937" s="11" t="s">
        <v>17</v>
      </c>
      <c r="D937" s="11">
        <v>4</v>
      </c>
      <c r="E937" s="44">
        <f>VLOOKUP(B937,'Costo de Materiales'!B$4:D$350,3,FALSE)</f>
        <v>1.2440298528886853E-3</v>
      </c>
      <c r="F937" s="206">
        <f t="shared" si="86"/>
        <v>4.976119411554741E-3</v>
      </c>
      <c r="G937" s="302"/>
      <c r="H937" s="83"/>
      <c r="I937" s="53"/>
      <c r="J937" s="53"/>
      <c r="K937" s="58"/>
    </row>
    <row r="938" spans="1:12" s="3" customFormat="1" ht="12" customHeight="1" x14ac:dyDescent="0.2">
      <c r="A938" s="205"/>
      <c r="B938" s="12" t="s">
        <v>111</v>
      </c>
      <c r="C938" s="11" t="s">
        <v>11</v>
      </c>
      <c r="D938" s="11">
        <v>0.06</v>
      </c>
      <c r="E938" s="44">
        <f>SUM(F932:F937)</f>
        <v>0.15975352337420221</v>
      </c>
      <c r="F938" s="206">
        <f t="shared" si="86"/>
        <v>9.5852114024521321E-3</v>
      </c>
      <c r="G938" s="302"/>
      <c r="H938" s="83"/>
      <c r="I938" s="53"/>
      <c r="J938" s="53"/>
      <c r="K938" s="58"/>
    </row>
    <row r="939" spans="1:12" s="3" customFormat="1" ht="12" customHeight="1" x14ac:dyDescent="0.2">
      <c r="A939" s="205"/>
      <c r="B939" s="12" t="s">
        <v>83</v>
      </c>
      <c r="C939" s="11" t="s">
        <v>33</v>
      </c>
      <c r="D939" s="11">
        <v>0.02</v>
      </c>
      <c r="E939" s="44">
        <f>VLOOKUP(B939,'Costo de Materiales'!B$4:D$350,3,FALSE)</f>
        <v>0.84211251580157165</v>
      </c>
      <c r="F939" s="206">
        <f t="shared" si="86"/>
        <v>1.6842250316031433E-2</v>
      </c>
      <c r="G939" s="302"/>
      <c r="H939" s="83"/>
      <c r="I939" s="53"/>
      <c r="J939" s="53"/>
      <c r="K939" s="58"/>
    </row>
    <row r="940" spans="1:12" s="3" customFormat="1" ht="12" customHeight="1" x14ac:dyDescent="0.2">
      <c r="A940" s="205"/>
      <c r="B940" s="12" t="s">
        <v>10</v>
      </c>
      <c r="C940" s="11" t="s">
        <v>33</v>
      </c>
      <c r="D940" s="11">
        <v>0.02</v>
      </c>
      <c r="E940" s="44">
        <f>VLOOKUP(B940,'Costo de Materiales'!B$4:D$350,3,FALSE)</f>
        <v>0.35088021491732146</v>
      </c>
      <c r="F940" s="206">
        <f t="shared" si="86"/>
        <v>7.0176042983464294E-3</v>
      </c>
      <c r="G940" s="302"/>
      <c r="H940" s="83"/>
      <c r="I940" s="53"/>
      <c r="J940" s="53"/>
      <c r="K940" s="58"/>
    </row>
    <row r="941" spans="1:12" s="3" customFormat="1" ht="12" customHeight="1" x14ac:dyDescent="0.2">
      <c r="A941" s="207"/>
      <c r="B941" s="26" t="s">
        <v>109</v>
      </c>
      <c r="C941" s="23" t="s">
        <v>11</v>
      </c>
      <c r="D941" s="103">
        <f>VLOOKUP(B941,'Costo de Materiales'!B$4:D$350,3,FALSE)</f>
        <v>0.28999999999999998</v>
      </c>
      <c r="E941" s="45">
        <f>SUM(F939:F940)</f>
        <v>2.3859854614377861E-2</v>
      </c>
      <c r="F941" s="208">
        <f t="shared" si="86"/>
        <v>6.919357838169579E-3</v>
      </c>
      <c r="G941" s="307"/>
      <c r="H941" s="83"/>
      <c r="I941" s="53"/>
      <c r="J941" s="53"/>
      <c r="K941" s="58"/>
    </row>
    <row r="942" spans="1:12" s="1" customFormat="1" ht="12" customHeight="1" x14ac:dyDescent="0.2">
      <c r="A942" s="209">
        <v>11</v>
      </c>
      <c r="B942" s="93" t="s">
        <v>676</v>
      </c>
      <c r="C942" s="91" t="s">
        <v>38</v>
      </c>
      <c r="D942" s="91"/>
      <c r="E942" s="94"/>
      <c r="F942" s="210">
        <f>SUM(F943:F949)</f>
        <v>0.33174096978465784</v>
      </c>
      <c r="G942" s="302"/>
      <c r="H942" s="83"/>
      <c r="I942" s="53"/>
      <c r="J942" s="53"/>
      <c r="K942" s="62"/>
    </row>
    <row r="943" spans="1:12" s="3" customFormat="1" ht="12" customHeight="1" x14ac:dyDescent="0.2">
      <c r="A943" s="205"/>
      <c r="B943" s="12" t="s">
        <v>248</v>
      </c>
      <c r="C943" s="21" t="s">
        <v>38</v>
      </c>
      <c r="D943" s="11">
        <v>1</v>
      </c>
      <c r="E943" s="44">
        <f>VLOOKUP(B943,'Costo de Materiales'!B$4:D$350,3,FALSE)</f>
        <v>0.17940019757320458</v>
      </c>
      <c r="F943" s="206">
        <f>D943*E943</f>
        <v>0.17940019757320458</v>
      </c>
      <c r="G943" s="302"/>
      <c r="H943" s="83"/>
      <c r="I943" s="53"/>
      <c r="J943" s="53"/>
      <c r="K943" s="58"/>
    </row>
    <row r="944" spans="1:12" s="3" customFormat="1" ht="12" customHeight="1" x14ac:dyDescent="0.2">
      <c r="A944" s="205"/>
      <c r="B944" s="15" t="s">
        <v>247</v>
      </c>
      <c r="C944" s="21" t="s">
        <v>19</v>
      </c>
      <c r="D944" s="11">
        <v>0.2</v>
      </c>
      <c r="E944" s="44">
        <f>VLOOKUP(B944,'Costo de Materiales'!B$4:D$350,3,FALSE)</f>
        <v>7.2226053568433021E-2</v>
      </c>
      <c r="F944" s="206">
        <f t="shared" ref="F944:F949" si="87">D944*E944</f>
        <v>1.4445210713686605E-2</v>
      </c>
      <c r="G944" s="302"/>
      <c r="H944" s="83"/>
      <c r="I944" s="53"/>
      <c r="J944" s="53"/>
      <c r="K944" s="58"/>
      <c r="L944" s="41"/>
    </row>
    <row r="945" spans="1:12" s="3" customFormat="1" ht="12" customHeight="1" x14ac:dyDescent="0.2">
      <c r="A945" s="205"/>
      <c r="B945" s="15" t="s">
        <v>246</v>
      </c>
      <c r="C945" s="21" t="s">
        <v>18</v>
      </c>
      <c r="D945" s="11">
        <v>0.4</v>
      </c>
      <c r="E945" s="44">
        <f>VLOOKUP(B945,'Costo de Materiales'!B$4:D$350,3,FALSE)</f>
        <v>1.923461541774044E-2</v>
      </c>
      <c r="F945" s="206">
        <f t="shared" si="87"/>
        <v>7.6938461670961762E-3</v>
      </c>
      <c r="G945" s="302"/>
      <c r="H945" s="83"/>
      <c r="I945" s="53"/>
      <c r="J945" s="53"/>
      <c r="K945" s="58"/>
    </row>
    <row r="946" spans="1:12" s="3" customFormat="1" ht="12" customHeight="1" x14ac:dyDescent="0.2">
      <c r="A946" s="205"/>
      <c r="B946" s="12" t="s">
        <v>44</v>
      </c>
      <c r="C946" s="21" t="s">
        <v>18</v>
      </c>
      <c r="D946" s="21">
        <v>0.01</v>
      </c>
      <c r="E946" s="46">
        <f>VLOOKUP(B946,'Costo de Materiales'!B$4:D$350,3,FALSE)</f>
        <v>0.12866139516991057</v>
      </c>
      <c r="F946" s="206">
        <f t="shared" si="87"/>
        <v>1.2866139516991056E-3</v>
      </c>
      <c r="G946" s="302"/>
      <c r="H946" s="83"/>
      <c r="I946" s="53"/>
      <c r="J946" s="53"/>
      <c r="K946" s="58"/>
    </row>
    <row r="947" spans="1:12" s="3" customFormat="1" ht="12" customHeight="1" x14ac:dyDescent="0.2">
      <c r="A947" s="205"/>
      <c r="B947" s="15" t="s">
        <v>111</v>
      </c>
      <c r="C947" s="21" t="s">
        <v>11</v>
      </c>
      <c r="D947" s="11">
        <v>0.1</v>
      </c>
      <c r="E947" s="44">
        <f>SUM(F943:F946)</f>
        <v>0.20282586840568645</v>
      </c>
      <c r="F947" s="206">
        <f t="shared" si="87"/>
        <v>2.0282586840568648E-2</v>
      </c>
      <c r="G947" s="302"/>
      <c r="H947" s="83"/>
      <c r="I947" s="53"/>
      <c r="J947" s="53"/>
      <c r="K947" s="58"/>
    </row>
    <row r="948" spans="1:12" s="3" customFormat="1" ht="12" customHeight="1" x14ac:dyDescent="0.2">
      <c r="A948" s="205"/>
      <c r="B948" s="15" t="s">
        <v>220</v>
      </c>
      <c r="C948" s="21" t="s">
        <v>33</v>
      </c>
      <c r="D948" s="11">
        <v>0.12</v>
      </c>
      <c r="E948" s="44">
        <f>VLOOKUP(B948,'Costo de Materiales'!B$4:D$350,3,FALSE)</f>
        <v>0.70176042983464293</v>
      </c>
      <c r="F948" s="206">
        <f t="shared" si="87"/>
        <v>8.4211251580157145E-2</v>
      </c>
      <c r="G948" s="302"/>
      <c r="H948" s="83"/>
      <c r="I948" s="53"/>
      <c r="J948" s="53"/>
      <c r="K948" s="58"/>
    </row>
    <row r="949" spans="1:12" s="3" customFormat="1" ht="12" customHeight="1" x14ac:dyDescent="0.2">
      <c r="A949" s="207"/>
      <c r="B949" s="27" t="s">
        <v>93</v>
      </c>
      <c r="C949" s="32" t="s">
        <v>11</v>
      </c>
      <c r="D949" s="80">
        <f>VLOOKUP(B949,'Costo de Materiales'!B$4:D$350,3,FALSE)</f>
        <v>0.28999999999999998</v>
      </c>
      <c r="E949" s="45">
        <f>F948</f>
        <v>8.4211251580157145E-2</v>
      </c>
      <c r="F949" s="208">
        <f t="shared" si="87"/>
        <v>2.4421262958245569E-2</v>
      </c>
      <c r="G949" s="302"/>
      <c r="H949" s="83"/>
      <c r="I949" s="53"/>
      <c r="J949" s="53"/>
      <c r="K949" s="58"/>
    </row>
    <row r="950" spans="1:12" s="1" customFormat="1" ht="12" customHeight="1" x14ac:dyDescent="0.2">
      <c r="A950" s="209">
        <v>12</v>
      </c>
      <c r="B950" s="93" t="s">
        <v>677</v>
      </c>
      <c r="C950" s="91" t="s">
        <v>38</v>
      </c>
      <c r="D950" s="91"/>
      <c r="E950" s="94"/>
      <c r="F950" s="210">
        <f>SUM(F951:F957)</f>
        <v>0.34968098954197829</v>
      </c>
      <c r="G950" s="303"/>
      <c r="H950" s="83"/>
      <c r="I950" s="53"/>
      <c r="J950" s="53"/>
      <c r="K950" s="62"/>
    </row>
    <row r="951" spans="1:12" s="3" customFormat="1" ht="12" customHeight="1" x14ac:dyDescent="0.2">
      <c r="A951" s="205"/>
      <c r="B951" s="12" t="s">
        <v>43</v>
      </c>
      <c r="C951" s="21" t="s">
        <v>38</v>
      </c>
      <c r="D951" s="11">
        <v>1</v>
      </c>
      <c r="E951" s="44">
        <f>VLOOKUP(B951,'Costo de Materiales'!B$4:D$350,3,FALSE)</f>
        <v>0.19570930644349591</v>
      </c>
      <c r="F951" s="206">
        <f>D951*E951</f>
        <v>0.19570930644349591</v>
      </c>
      <c r="G951" s="302"/>
      <c r="H951" s="83"/>
      <c r="I951" s="53"/>
      <c r="J951" s="53"/>
      <c r="K951" s="58"/>
    </row>
    <row r="952" spans="1:12" s="3" customFormat="1" ht="12" customHeight="1" x14ac:dyDescent="0.2">
      <c r="A952" s="205"/>
      <c r="B952" s="15" t="s">
        <v>247</v>
      </c>
      <c r="C952" s="21" t="s">
        <v>19</v>
      </c>
      <c r="D952" s="11">
        <v>0.2</v>
      </c>
      <c r="E952" s="44">
        <f>VLOOKUP(B952,'Costo de Materiales'!B$4:D$350,3,FALSE)</f>
        <v>7.2226053568433021E-2</v>
      </c>
      <c r="F952" s="206">
        <f t="shared" ref="F952:F957" si="88">D952*E952</f>
        <v>1.4445210713686605E-2</v>
      </c>
      <c r="G952" s="302"/>
      <c r="H952" s="83"/>
      <c r="I952" s="53"/>
      <c r="J952" s="53"/>
      <c r="K952" s="58"/>
      <c r="L952" s="41"/>
    </row>
    <row r="953" spans="1:12" s="3" customFormat="1" ht="12" customHeight="1" x14ac:dyDescent="0.2">
      <c r="A953" s="205"/>
      <c r="B953" s="15" t="s">
        <v>246</v>
      </c>
      <c r="C953" s="21" t="s">
        <v>18</v>
      </c>
      <c r="D953" s="11">
        <v>0.4</v>
      </c>
      <c r="E953" s="44">
        <f>VLOOKUP(B953,'Costo de Materiales'!B$4:D$350,3,FALSE)</f>
        <v>1.923461541774044E-2</v>
      </c>
      <c r="F953" s="206">
        <f t="shared" si="88"/>
        <v>7.6938461670961762E-3</v>
      </c>
      <c r="G953" s="302"/>
      <c r="H953" s="83"/>
      <c r="I953" s="53"/>
      <c r="J953" s="53"/>
      <c r="K953" s="58"/>
    </row>
    <row r="954" spans="1:12" s="3" customFormat="1" ht="12" customHeight="1" x14ac:dyDescent="0.2">
      <c r="A954" s="205"/>
      <c r="B954" s="12" t="s">
        <v>44</v>
      </c>
      <c r="C954" s="21" t="s">
        <v>18</v>
      </c>
      <c r="D954" s="21">
        <v>0.01</v>
      </c>
      <c r="E954" s="44">
        <f>VLOOKUP(B954,'Costo de Materiales'!B$4:D$350,3,FALSE)</f>
        <v>0.12866139516991057</v>
      </c>
      <c r="F954" s="206">
        <f t="shared" si="88"/>
        <v>1.2866139516991056E-3</v>
      </c>
      <c r="G954" s="302"/>
      <c r="H954" s="83"/>
      <c r="I954" s="53"/>
      <c r="J954" s="53"/>
      <c r="K954" s="58"/>
    </row>
    <row r="955" spans="1:12" s="3" customFormat="1" ht="12" customHeight="1" x14ac:dyDescent="0.2">
      <c r="A955" s="205"/>
      <c r="B955" s="15" t="s">
        <v>111</v>
      </c>
      <c r="C955" s="11" t="s">
        <v>11</v>
      </c>
      <c r="D955" s="11">
        <v>0.1</v>
      </c>
      <c r="E955" s="44">
        <f>SUM(F951:F954)</f>
        <v>0.21913497727597778</v>
      </c>
      <c r="F955" s="206">
        <f t="shared" si="88"/>
        <v>2.1913497727597778E-2</v>
      </c>
      <c r="G955" s="302"/>
      <c r="H955" s="83"/>
      <c r="I955" s="53"/>
      <c r="J955" s="53"/>
      <c r="K955" s="58"/>
    </row>
    <row r="956" spans="1:12" s="3" customFormat="1" ht="12" customHeight="1" x14ac:dyDescent="0.2">
      <c r="A956" s="205"/>
      <c r="B956" s="15" t="s">
        <v>220</v>
      </c>
      <c r="C956" s="11" t="s">
        <v>33</v>
      </c>
      <c r="D956" s="11">
        <v>0.12</v>
      </c>
      <c r="E956" s="44">
        <f>VLOOKUP(B956,'Costo de Materiales'!B$4:D$350,3,FALSE)</f>
        <v>0.70176042983464293</v>
      </c>
      <c r="F956" s="206">
        <f t="shared" si="88"/>
        <v>8.4211251580157145E-2</v>
      </c>
      <c r="G956" s="302"/>
      <c r="H956" s="83"/>
      <c r="I956" s="53"/>
      <c r="J956" s="53"/>
      <c r="K956" s="58"/>
    </row>
    <row r="957" spans="1:12" s="3" customFormat="1" ht="12" customHeight="1" x14ac:dyDescent="0.2">
      <c r="A957" s="207"/>
      <c r="B957" s="27" t="s">
        <v>93</v>
      </c>
      <c r="C957" s="23" t="s">
        <v>11</v>
      </c>
      <c r="D957" s="80">
        <f>VLOOKUP(B957,'Costo de Materiales'!B$4:D$350,3,FALSE)</f>
        <v>0.28999999999999998</v>
      </c>
      <c r="E957" s="45">
        <f>F956</f>
        <v>8.4211251580157145E-2</v>
      </c>
      <c r="F957" s="208">
        <f t="shared" si="88"/>
        <v>2.4421262958245569E-2</v>
      </c>
      <c r="G957" s="307"/>
      <c r="H957" s="83"/>
      <c r="I957" s="53"/>
      <c r="J957" s="53"/>
      <c r="K957" s="58"/>
    </row>
    <row r="958" spans="1:12" s="1" customFormat="1" ht="12" customHeight="1" x14ac:dyDescent="0.2">
      <c r="A958" s="209">
        <v>13</v>
      </c>
      <c r="B958" s="93" t="s">
        <v>594</v>
      </c>
      <c r="C958" s="91" t="s">
        <v>38</v>
      </c>
      <c r="D958" s="91"/>
      <c r="E958" s="94"/>
      <c r="F958" s="210">
        <f>SUM(F959:F965)</f>
        <v>0.31378557286754538</v>
      </c>
      <c r="G958" s="302"/>
      <c r="H958" s="83"/>
      <c r="I958" s="53"/>
      <c r="J958" s="53"/>
      <c r="K958" s="62"/>
    </row>
    <row r="959" spans="1:12" s="3" customFormat="1" ht="12" customHeight="1" x14ac:dyDescent="0.2">
      <c r="A959" s="205"/>
      <c r="B959" s="12" t="s">
        <v>593</v>
      </c>
      <c r="C959" s="11" t="s">
        <v>38</v>
      </c>
      <c r="D959" s="11">
        <v>1</v>
      </c>
      <c r="E959" s="44">
        <f>VLOOKUP(B959,'Costo de Materiales'!B$4:D$350,3,FALSE)</f>
        <v>0.16775083409442507</v>
      </c>
      <c r="F959" s="206">
        <f>D959*E959</f>
        <v>0.16775083409442507</v>
      </c>
      <c r="G959" s="302"/>
      <c r="H959" s="83"/>
      <c r="I959" s="53"/>
      <c r="J959" s="53"/>
      <c r="K959" s="58"/>
    </row>
    <row r="960" spans="1:12" s="3" customFormat="1" ht="12" customHeight="1" x14ac:dyDescent="0.2">
      <c r="A960" s="205"/>
      <c r="B960" s="15" t="s">
        <v>245</v>
      </c>
      <c r="C960" s="21" t="s">
        <v>595</v>
      </c>
      <c r="D960" s="21">
        <v>0.03</v>
      </c>
      <c r="E960" s="44">
        <f>VLOOKUP(B960,'Costo de Materiales'!B$4:D$350,3,FALSE)</f>
        <v>0.32571620286667535</v>
      </c>
      <c r="F960" s="206">
        <f t="shared" ref="F960:F965" si="89">D960*E960</f>
        <v>9.7714860860002601E-3</v>
      </c>
      <c r="G960" s="302"/>
      <c r="H960" s="83"/>
      <c r="I960" s="53"/>
      <c r="J960" s="53"/>
      <c r="K960" s="58"/>
      <c r="L960" s="41"/>
    </row>
    <row r="961" spans="1:12" s="3" customFormat="1" ht="12" customHeight="1" x14ac:dyDescent="0.2">
      <c r="A961" s="205"/>
      <c r="B961" s="15" t="s">
        <v>246</v>
      </c>
      <c r="C961" s="11" t="s">
        <v>18</v>
      </c>
      <c r="D961" s="11">
        <v>0.4</v>
      </c>
      <c r="E961" s="44">
        <f>VLOOKUP(B961,'Costo de Materiales'!B$4:D$350,3,FALSE)</f>
        <v>1.923461541774044E-2</v>
      </c>
      <c r="F961" s="206">
        <f t="shared" si="89"/>
        <v>7.6938461670961762E-3</v>
      </c>
      <c r="G961" s="302"/>
      <c r="H961" s="83"/>
      <c r="I961" s="53"/>
      <c r="J961" s="53"/>
      <c r="K961" s="58"/>
    </row>
    <row r="962" spans="1:12" s="3" customFormat="1" ht="12" customHeight="1" x14ac:dyDescent="0.2">
      <c r="A962" s="205"/>
      <c r="B962" s="12" t="s">
        <v>44</v>
      </c>
      <c r="C962" s="21" t="s">
        <v>18</v>
      </c>
      <c r="D962" s="21">
        <v>0.01</v>
      </c>
      <c r="E962" s="44">
        <f>VLOOKUP(B962,'Costo de Materiales'!B$4:D$350,3,FALSE)</f>
        <v>0.12866139516991057</v>
      </c>
      <c r="F962" s="206">
        <f t="shared" si="89"/>
        <v>1.2866139516991056E-3</v>
      </c>
      <c r="G962" s="302"/>
      <c r="H962" s="83"/>
      <c r="I962" s="53"/>
      <c r="J962" s="53"/>
      <c r="K962" s="58"/>
    </row>
    <row r="963" spans="1:12" s="3" customFormat="1" ht="12" customHeight="1" x14ac:dyDescent="0.2">
      <c r="A963" s="205"/>
      <c r="B963" s="15" t="s">
        <v>111</v>
      </c>
      <c r="C963" s="11" t="s">
        <v>11</v>
      </c>
      <c r="D963" s="11">
        <v>0.1</v>
      </c>
      <c r="E963" s="44">
        <f>SUM(F959:F962)</f>
        <v>0.1865027802992206</v>
      </c>
      <c r="F963" s="206">
        <f t="shared" si="89"/>
        <v>1.8650278029922061E-2</v>
      </c>
      <c r="G963" s="302"/>
      <c r="H963" s="83"/>
      <c r="I963" s="53"/>
      <c r="J963" s="53"/>
      <c r="K963" s="58"/>
    </row>
    <row r="964" spans="1:12" s="3" customFormat="1" ht="12" customHeight="1" x14ac:dyDescent="0.2">
      <c r="A964" s="205"/>
      <c r="B964" s="15" t="s">
        <v>220</v>
      </c>
      <c r="C964" s="11" t="s">
        <v>33</v>
      </c>
      <c r="D964" s="11">
        <v>0.12</v>
      </c>
      <c r="E964" s="44">
        <f>VLOOKUP(B964,'Costo de Materiales'!B$4:D$350,3,FALSE)</f>
        <v>0.70176042983464293</v>
      </c>
      <c r="F964" s="206">
        <f t="shared" si="89"/>
        <v>8.4211251580157145E-2</v>
      </c>
      <c r="G964" s="302"/>
      <c r="H964" s="83"/>
      <c r="I964" s="53"/>
      <c r="J964" s="53"/>
      <c r="K964" s="58"/>
    </row>
    <row r="965" spans="1:12" s="3" customFormat="1" ht="12" customHeight="1" x14ac:dyDescent="0.2">
      <c r="A965" s="207"/>
      <c r="B965" s="27" t="s">
        <v>93</v>
      </c>
      <c r="C965" s="23" t="s">
        <v>11</v>
      </c>
      <c r="D965" s="80">
        <f>VLOOKUP(B965,'Costo de Materiales'!B$4:D$350,3,FALSE)</f>
        <v>0.28999999999999998</v>
      </c>
      <c r="E965" s="45">
        <f>F964</f>
        <v>8.4211251580157145E-2</v>
      </c>
      <c r="F965" s="208">
        <f t="shared" si="89"/>
        <v>2.4421262958245569E-2</v>
      </c>
      <c r="G965" s="302"/>
      <c r="H965" s="83"/>
      <c r="I965" s="53"/>
      <c r="J965" s="53"/>
      <c r="K965" s="58"/>
    </row>
    <row r="966" spans="1:12" s="1" customFormat="1" ht="12" customHeight="1" x14ac:dyDescent="0.2">
      <c r="A966" s="209">
        <v>14</v>
      </c>
      <c r="B966" s="93" t="s">
        <v>204</v>
      </c>
      <c r="C966" s="91" t="s">
        <v>17</v>
      </c>
      <c r="D966" s="91"/>
      <c r="E966" s="94"/>
      <c r="F966" s="210">
        <f>SUM(F967:F970)</f>
        <v>0.66699396671143729</v>
      </c>
      <c r="G966" s="303"/>
      <c r="H966" s="83"/>
      <c r="I966" s="53"/>
      <c r="J966" s="53"/>
      <c r="K966" s="62"/>
    </row>
    <row r="967" spans="1:12" s="3" customFormat="1" ht="12" customHeight="1" x14ac:dyDescent="0.2">
      <c r="A967" s="205"/>
      <c r="B967" s="12" t="s">
        <v>213</v>
      </c>
      <c r="C967" s="11" t="s">
        <v>17</v>
      </c>
      <c r="D967" s="11">
        <v>1</v>
      </c>
      <c r="E967" s="44">
        <f>VLOOKUP(B967,'Costo de Materiales'!B$4:D$350,3,FALSE)</f>
        <v>0.38765949055434362</v>
      </c>
      <c r="F967" s="206">
        <f>D967*E967</f>
        <v>0.38765949055434362</v>
      </c>
      <c r="G967" s="302"/>
      <c r="H967" s="83"/>
      <c r="I967" s="53"/>
      <c r="J967" s="53"/>
      <c r="K967" s="58"/>
      <c r="L967" s="41"/>
    </row>
    <row r="968" spans="1:12" s="3" customFormat="1" ht="12" customHeight="1" x14ac:dyDescent="0.2">
      <c r="A968" s="205"/>
      <c r="B968" s="10" t="s">
        <v>211</v>
      </c>
      <c r="C968" s="11" t="s">
        <v>11</v>
      </c>
      <c r="D968" s="11">
        <v>0.02</v>
      </c>
      <c r="E968" s="44">
        <f>F967</f>
        <v>0.38765949055434362</v>
      </c>
      <c r="F968" s="206">
        <f>D968*E968</f>
        <v>7.7531898110868728E-3</v>
      </c>
      <c r="G968" s="302"/>
      <c r="H968" s="83"/>
      <c r="I968" s="53"/>
      <c r="J968" s="53"/>
      <c r="K968" s="58"/>
    </row>
    <row r="969" spans="1:12" s="3" customFormat="1" ht="12" customHeight="1" x14ac:dyDescent="0.2">
      <c r="A969" s="205"/>
      <c r="B969" s="12" t="s">
        <v>83</v>
      </c>
      <c r="C969" s="11" t="s">
        <v>33</v>
      </c>
      <c r="D969" s="11">
        <v>0.25</v>
      </c>
      <c r="E969" s="44">
        <f>VLOOKUP(B969,'Costo de Materiales'!B$4:D$350,3,FALSE)</f>
        <v>0.84211251580157165</v>
      </c>
      <c r="F969" s="206">
        <f>D969*E969</f>
        <v>0.21052812895039291</v>
      </c>
      <c r="G969" s="302"/>
      <c r="H969" s="83"/>
      <c r="I969" s="53"/>
      <c r="J969" s="53"/>
      <c r="K969" s="58"/>
    </row>
    <row r="970" spans="1:12" s="3" customFormat="1" ht="12" customHeight="1" x14ac:dyDescent="0.2">
      <c r="A970" s="207"/>
      <c r="B970" s="26" t="s">
        <v>109</v>
      </c>
      <c r="C970" s="23" t="s">
        <v>11</v>
      </c>
      <c r="D970" s="80">
        <f>VLOOKUP(B970,'Costo de Materiales'!B$4:D$350,3,FALSE)</f>
        <v>0.28999999999999998</v>
      </c>
      <c r="E970" s="45">
        <f>F969</f>
        <v>0.21052812895039291</v>
      </c>
      <c r="F970" s="208">
        <f>D970*E970</f>
        <v>6.1053157395613941E-2</v>
      </c>
      <c r="G970" s="307"/>
      <c r="H970" s="83"/>
      <c r="I970" s="53"/>
      <c r="J970" s="53"/>
      <c r="K970" s="58"/>
    </row>
    <row r="971" spans="1:12" s="1" customFormat="1" ht="12" customHeight="1" x14ac:dyDescent="0.2">
      <c r="A971" s="209">
        <v>15</v>
      </c>
      <c r="B971" s="88" t="s">
        <v>212</v>
      </c>
      <c r="C971" s="91" t="s">
        <v>17</v>
      </c>
      <c r="D971" s="91"/>
      <c r="E971" s="94"/>
      <c r="F971" s="210">
        <f>SUM(F972:F975)</f>
        <v>0.41010166737339038</v>
      </c>
      <c r="G971" s="302"/>
      <c r="H971" s="83"/>
      <c r="I971" s="53"/>
      <c r="J971" s="53"/>
      <c r="K971" s="62"/>
    </row>
    <row r="972" spans="1:12" s="3" customFormat="1" ht="12" customHeight="1" x14ac:dyDescent="0.2">
      <c r="A972" s="205"/>
      <c r="B972" s="12" t="s">
        <v>214</v>
      </c>
      <c r="C972" s="11" t="s">
        <v>17</v>
      </c>
      <c r="D972" s="11">
        <v>1</v>
      </c>
      <c r="E972" s="44">
        <f>VLOOKUP(B972,'Costo de Materiales'!B$4:D$350,3,FALSE)</f>
        <v>0.24230676035861398</v>
      </c>
      <c r="F972" s="206">
        <f>D972*E972</f>
        <v>0.24230676035861398</v>
      </c>
      <c r="G972" s="302"/>
      <c r="H972" s="83"/>
      <c r="I972" s="53"/>
      <c r="J972" s="53"/>
      <c r="K972" s="58"/>
      <c r="L972" s="41"/>
    </row>
    <row r="973" spans="1:12" s="3" customFormat="1" ht="12" customHeight="1" x14ac:dyDescent="0.2">
      <c r="A973" s="205"/>
      <c r="B973" s="10" t="s">
        <v>211</v>
      </c>
      <c r="C973" s="11" t="s">
        <v>11</v>
      </c>
      <c r="D973" s="11">
        <v>0.02</v>
      </c>
      <c r="E973" s="44">
        <f>F972</f>
        <v>0.24230676035861398</v>
      </c>
      <c r="F973" s="206">
        <f>D973*E973</f>
        <v>4.8461352071722799E-3</v>
      </c>
      <c r="G973" s="302"/>
      <c r="H973" s="83"/>
      <c r="I973" s="53"/>
      <c r="J973" s="53"/>
      <c r="K973" s="58"/>
    </row>
    <row r="974" spans="1:12" s="3" customFormat="1" ht="12" customHeight="1" x14ac:dyDescent="0.2">
      <c r="A974" s="205"/>
      <c r="B974" s="12" t="s">
        <v>83</v>
      </c>
      <c r="C974" s="11" t="s">
        <v>33</v>
      </c>
      <c r="D974" s="11">
        <v>0.15</v>
      </c>
      <c r="E974" s="44">
        <f>VLOOKUP(B974,'Costo de Materiales'!B$4:D$350,3,FALSE)</f>
        <v>0.84211251580157165</v>
      </c>
      <c r="F974" s="206">
        <f>D974*E974</f>
        <v>0.12631687737023575</v>
      </c>
      <c r="G974" s="302"/>
      <c r="H974" s="83"/>
      <c r="I974" s="53"/>
      <c r="J974" s="53"/>
      <c r="K974" s="58"/>
    </row>
    <row r="975" spans="1:12" s="3" customFormat="1" ht="12" customHeight="1" x14ac:dyDescent="0.2">
      <c r="A975" s="207"/>
      <c r="B975" s="26" t="s">
        <v>109</v>
      </c>
      <c r="C975" s="23" t="s">
        <v>11</v>
      </c>
      <c r="D975" s="80">
        <f>VLOOKUP(B975,'Costo de Materiales'!B$4:D$350,3,FALSE)</f>
        <v>0.28999999999999998</v>
      </c>
      <c r="E975" s="45">
        <f>F974</f>
        <v>0.12631687737023575</v>
      </c>
      <c r="F975" s="208">
        <f>D975*E975</f>
        <v>3.6631894437368369E-2</v>
      </c>
      <c r="G975" s="302"/>
      <c r="H975" s="83"/>
      <c r="I975" s="53"/>
      <c r="J975" s="53"/>
      <c r="K975" s="58"/>
    </row>
    <row r="976" spans="1:12" s="1" customFormat="1" ht="12" customHeight="1" x14ac:dyDescent="0.2">
      <c r="A976" s="209">
        <v>16</v>
      </c>
      <c r="B976" s="88" t="s">
        <v>209</v>
      </c>
      <c r="C976" s="91" t="s">
        <v>17</v>
      </c>
      <c r="D976" s="91"/>
      <c r="E976" s="94"/>
      <c r="F976" s="210">
        <f>SUM(F977:F980)</f>
        <v>0.61267770944223598</v>
      </c>
      <c r="G976" s="303"/>
      <c r="H976" s="83"/>
      <c r="I976" s="53"/>
      <c r="J976" s="53"/>
      <c r="K976" s="62"/>
    </row>
    <row r="977" spans="1:12" s="3" customFormat="1" ht="12" customHeight="1" x14ac:dyDescent="0.2">
      <c r="A977" s="205"/>
      <c r="B977" s="12" t="s">
        <v>647</v>
      </c>
      <c r="C977" s="11" t="s">
        <v>17</v>
      </c>
      <c r="D977" s="11">
        <v>1</v>
      </c>
      <c r="E977" s="44">
        <f>VLOOKUP(B977,'Costo de Materiales'!B$4:D$350,3,FALSE)</f>
        <v>0.38765949055434362</v>
      </c>
      <c r="F977" s="206">
        <f>D977*E977</f>
        <v>0.38765949055434362</v>
      </c>
      <c r="G977" s="302"/>
      <c r="H977" s="83"/>
      <c r="I977" s="53"/>
      <c r="J977" s="53"/>
      <c r="K977" s="58"/>
      <c r="L977" s="41"/>
    </row>
    <row r="978" spans="1:12" s="3" customFormat="1" ht="12" customHeight="1" x14ac:dyDescent="0.2">
      <c r="A978" s="205"/>
      <c r="B978" s="16" t="s">
        <v>211</v>
      </c>
      <c r="C978" s="11" t="s">
        <v>11</v>
      </c>
      <c r="D978" s="11">
        <v>0.02</v>
      </c>
      <c r="E978" s="44">
        <f>F977</f>
        <v>0.38765949055434362</v>
      </c>
      <c r="F978" s="206">
        <f>D978*E978</f>
        <v>7.7531898110868728E-3</v>
      </c>
      <c r="G978" s="302"/>
      <c r="H978" s="83"/>
      <c r="I978" s="53"/>
      <c r="J978" s="53"/>
      <c r="K978" s="58"/>
    </row>
    <row r="979" spans="1:12" s="3" customFormat="1" ht="12" customHeight="1" x14ac:dyDescent="0.2">
      <c r="A979" s="205"/>
      <c r="B979" s="12" t="s">
        <v>83</v>
      </c>
      <c r="C979" s="11" t="s">
        <v>33</v>
      </c>
      <c r="D979" s="11">
        <v>0.2</v>
      </c>
      <c r="E979" s="44">
        <f>VLOOKUP(B979,'Costo de Materiales'!B$4:D$350,3,FALSE)</f>
        <v>0.84211251580157165</v>
      </c>
      <c r="F979" s="206">
        <f>D979*E979</f>
        <v>0.16842250316031435</v>
      </c>
      <c r="G979" s="302"/>
      <c r="H979" s="83"/>
      <c r="I979" s="53"/>
      <c r="J979" s="53"/>
      <c r="K979" s="58"/>
    </row>
    <row r="980" spans="1:12" s="3" customFormat="1" ht="12" customHeight="1" x14ac:dyDescent="0.2">
      <c r="A980" s="207"/>
      <c r="B980" s="26" t="s">
        <v>109</v>
      </c>
      <c r="C980" s="23" t="s">
        <v>11</v>
      </c>
      <c r="D980" s="80">
        <f>VLOOKUP(B980,'Costo de Materiales'!B$4:D$350,3,FALSE)</f>
        <v>0.28999999999999998</v>
      </c>
      <c r="E980" s="45">
        <f>F979</f>
        <v>0.16842250316031435</v>
      </c>
      <c r="F980" s="208">
        <f>D980*E980</f>
        <v>4.8842525916491158E-2</v>
      </c>
      <c r="G980" s="307"/>
      <c r="H980" s="83"/>
      <c r="I980" s="53"/>
      <c r="J980" s="53"/>
      <c r="K980" s="58"/>
    </row>
    <row r="981" spans="1:12" s="1" customFormat="1" ht="12" customHeight="1" x14ac:dyDescent="0.2">
      <c r="A981" s="209">
        <v>17</v>
      </c>
      <c r="B981" s="88" t="s">
        <v>208</v>
      </c>
      <c r="C981" s="91" t="s">
        <v>17</v>
      </c>
      <c r="D981" s="91"/>
      <c r="E981" s="94"/>
      <c r="F981" s="210">
        <f>SUM(F982:F985)</f>
        <v>0.41010166737339038</v>
      </c>
      <c r="G981" s="303"/>
      <c r="H981" s="83"/>
      <c r="I981" s="53"/>
      <c r="J981" s="53"/>
      <c r="K981" s="62"/>
    </row>
    <row r="982" spans="1:12" s="3" customFormat="1" ht="12" customHeight="1" x14ac:dyDescent="0.2">
      <c r="A982" s="205"/>
      <c r="B982" s="12" t="s">
        <v>214</v>
      </c>
      <c r="C982" s="11" t="s">
        <v>17</v>
      </c>
      <c r="D982" s="11">
        <v>1</v>
      </c>
      <c r="E982" s="44">
        <f>VLOOKUP(B982,'Costo de Materiales'!B$4:D$350,3,FALSE)</f>
        <v>0.24230676035861398</v>
      </c>
      <c r="F982" s="206">
        <f>D982*E982</f>
        <v>0.24230676035861398</v>
      </c>
      <c r="G982" s="302"/>
      <c r="H982" s="83"/>
      <c r="I982" s="53"/>
      <c r="J982" s="53"/>
      <c r="K982" s="58"/>
      <c r="L982" s="41"/>
    </row>
    <row r="983" spans="1:12" s="3" customFormat="1" ht="12" customHeight="1" x14ac:dyDescent="0.2">
      <c r="A983" s="205"/>
      <c r="B983" s="10" t="s">
        <v>211</v>
      </c>
      <c r="C983" s="11" t="s">
        <v>11</v>
      </c>
      <c r="D983" s="11">
        <v>0.02</v>
      </c>
      <c r="E983" s="44">
        <f>F982</f>
        <v>0.24230676035861398</v>
      </c>
      <c r="F983" s="206">
        <f>D983*E983</f>
        <v>4.8461352071722799E-3</v>
      </c>
      <c r="G983" s="302"/>
      <c r="H983" s="83"/>
      <c r="I983" s="53"/>
      <c r="J983" s="53"/>
      <c r="K983" s="58"/>
    </row>
    <row r="984" spans="1:12" s="3" customFormat="1" ht="12" customHeight="1" x14ac:dyDescent="0.2">
      <c r="A984" s="205"/>
      <c r="B984" s="12" t="s">
        <v>83</v>
      </c>
      <c r="C984" s="11" t="s">
        <v>33</v>
      </c>
      <c r="D984" s="11">
        <v>0.15</v>
      </c>
      <c r="E984" s="44">
        <f>VLOOKUP(B984,'Costo de Materiales'!B$4:D$350,3,FALSE)</f>
        <v>0.84211251580157165</v>
      </c>
      <c r="F984" s="206">
        <f>D984*E984</f>
        <v>0.12631687737023575</v>
      </c>
      <c r="G984" s="302"/>
      <c r="H984" s="83"/>
      <c r="I984" s="53"/>
      <c r="J984" s="53"/>
      <c r="K984" s="58"/>
    </row>
    <row r="985" spans="1:12" s="3" customFormat="1" ht="12" customHeight="1" x14ac:dyDescent="0.2">
      <c r="A985" s="207"/>
      <c r="B985" s="26" t="s">
        <v>109</v>
      </c>
      <c r="C985" s="23" t="s">
        <v>11</v>
      </c>
      <c r="D985" s="103">
        <f>VLOOKUP(B985,'Costo de Materiales'!B$4:D$350,3,FALSE)</f>
        <v>0.28999999999999998</v>
      </c>
      <c r="E985" s="45">
        <f>F984</f>
        <v>0.12631687737023575</v>
      </c>
      <c r="F985" s="208">
        <f>D985*E985</f>
        <v>3.6631894437368369E-2</v>
      </c>
      <c r="G985" s="307"/>
      <c r="H985" s="83"/>
      <c r="I985" s="53"/>
      <c r="J985" s="53"/>
      <c r="K985" s="58"/>
    </row>
    <row r="986" spans="1:12" ht="12" customHeight="1" x14ac:dyDescent="0.2">
      <c r="A986" s="209">
        <v>18</v>
      </c>
      <c r="B986" s="88" t="s">
        <v>150</v>
      </c>
      <c r="C986" s="91" t="s">
        <v>38</v>
      </c>
      <c r="D986" s="91"/>
      <c r="E986" s="94"/>
      <c r="F986" s="210">
        <f>SUM(F987:F994)</f>
        <v>0.3379009836439496</v>
      </c>
      <c r="G986" s="302"/>
      <c r="H986" s="83"/>
      <c r="I986" s="53"/>
      <c r="J986" s="53"/>
    </row>
    <row r="987" spans="1:12" s="3" customFormat="1" ht="12" customHeight="1" x14ac:dyDescent="0.2">
      <c r="A987" s="205"/>
      <c r="B987" s="12" t="s">
        <v>304</v>
      </c>
      <c r="C987" s="11" t="s">
        <v>17</v>
      </c>
      <c r="D987" s="11">
        <v>0.67</v>
      </c>
      <c r="E987" s="44">
        <f>VLOOKUP(B987,'Costo de Materiales'!B$4:D$350,3,FALSE)</f>
        <v>0.27512198669653615</v>
      </c>
      <c r="F987" s="206">
        <f>D987*E987</f>
        <v>0.18433173108667922</v>
      </c>
      <c r="G987" s="302"/>
      <c r="H987" s="83"/>
      <c r="I987" s="53"/>
      <c r="J987" s="53"/>
      <c r="K987" s="58"/>
    </row>
    <row r="988" spans="1:12" s="3" customFormat="1" ht="12" customHeight="1" x14ac:dyDescent="0.2">
      <c r="A988" s="205"/>
      <c r="B988" s="12" t="s">
        <v>157</v>
      </c>
      <c r="C988" s="11" t="s">
        <v>17</v>
      </c>
      <c r="D988" s="11">
        <v>0.1</v>
      </c>
      <c r="E988" s="44">
        <f>VLOOKUP(B988,'Costo de Materiales'!B$4:D$350,3,FALSE)</f>
        <v>0.15320101685154128</v>
      </c>
      <c r="F988" s="206">
        <f t="shared" ref="F988:F994" si="90">D988*E988</f>
        <v>1.5320101685154129E-2</v>
      </c>
      <c r="G988" s="302"/>
      <c r="H988" s="83"/>
      <c r="I988" s="53"/>
      <c r="J988" s="53"/>
      <c r="K988" s="58"/>
    </row>
    <row r="989" spans="1:12" s="3" customFormat="1" ht="12" customHeight="1" x14ac:dyDescent="0.2">
      <c r="A989" s="205"/>
      <c r="B989" s="12" t="s">
        <v>122</v>
      </c>
      <c r="C989" s="11" t="s">
        <v>17</v>
      </c>
      <c r="D989" s="11">
        <v>2.76</v>
      </c>
      <c r="E989" s="44">
        <f>VLOOKUP(B989,'Costo de Materiales'!B$4:D$350,3,FALSE)</f>
        <v>3.636394954597695E-3</v>
      </c>
      <c r="F989" s="206">
        <f t="shared" si="90"/>
        <v>1.0036450074689637E-2</v>
      </c>
      <c r="G989" s="302"/>
      <c r="H989" s="83"/>
      <c r="I989" s="53"/>
      <c r="J989" s="53"/>
      <c r="K989" s="58"/>
    </row>
    <row r="990" spans="1:12" s="3" customFormat="1" ht="12" customHeight="1" x14ac:dyDescent="0.2">
      <c r="A990" s="205"/>
      <c r="B990" s="12" t="s">
        <v>39</v>
      </c>
      <c r="C990" s="11" t="s">
        <v>17</v>
      </c>
      <c r="D990" s="11">
        <v>2.76</v>
      </c>
      <c r="E990" s="44">
        <f>VLOOKUP(B990,'Costo de Materiales'!B$4:D$350,3,FALSE)</f>
        <v>7.1770953051270296E-4</v>
      </c>
      <c r="F990" s="206">
        <f t="shared" si="90"/>
        <v>1.98087830421506E-3</v>
      </c>
      <c r="G990" s="302"/>
      <c r="H990" s="83"/>
      <c r="I990" s="53"/>
      <c r="J990" s="53"/>
      <c r="K990" s="58"/>
    </row>
    <row r="991" spans="1:12" s="3" customFormat="1" ht="12" customHeight="1" x14ac:dyDescent="0.2">
      <c r="A991" s="205"/>
      <c r="B991" s="12" t="s">
        <v>111</v>
      </c>
      <c r="C991" s="11" t="s">
        <v>11</v>
      </c>
      <c r="D991" s="11">
        <v>0.05</v>
      </c>
      <c r="E991" s="44">
        <f>SUM(F987:F990)</f>
        <v>0.21166916115073806</v>
      </c>
      <c r="F991" s="206">
        <f t="shared" si="90"/>
        <v>1.0583458057536903E-2</v>
      </c>
      <c r="G991" s="302"/>
      <c r="H991" s="83"/>
      <c r="I991" s="53"/>
      <c r="J991" s="53"/>
      <c r="K991" s="58"/>
    </row>
    <row r="992" spans="1:12" s="3" customFormat="1" ht="12" customHeight="1" x14ac:dyDescent="0.2">
      <c r="A992" s="205"/>
      <c r="B992" s="12" t="s">
        <v>96</v>
      </c>
      <c r="C992" s="11" t="s">
        <v>33</v>
      </c>
      <c r="D992" s="11">
        <v>7.0000000000000007E-2</v>
      </c>
      <c r="E992" s="44">
        <f>VLOOKUP(B992,'Costo de Materiales'!B$4:D$350,3,FALSE)</f>
        <v>0.92983256953090243</v>
      </c>
      <c r="F992" s="206">
        <f t="shared" si="90"/>
        <v>6.5088279867163173E-2</v>
      </c>
      <c r="G992" s="302"/>
      <c r="H992" s="83"/>
      <c r="I992" s="53"/>
      <c r="J992" s="53"/>
      <c r="K992" s="58"/>
    </row>
    <row r="993" spans="1:11" s="3" customFormat="1" ht="12" customHeight="1" x14ac:dyDescent="0.2">
      <c r="A993" s="205"/>
      <c r="B993" s="12" t="s">
        <v>10</v>
      </c>
      <c r="C993" s="11" t="s">
        <v>33</v>
      </c>
      <c r="D993" s="11">
        <v>7.0000000000000007E-2</v>
      </c>
      <c r="E993" s="44">
        <f>VLOOKUP(B993,'Costo de Materiales'!B$4:D$350,3,FALSE)</f>
        <v>0.35088021491732146</v>
      </c>
      <c r="F993" s="206">
        <f t="shared" si="90"/>
        <v>2.4561615044212504E-2</v>
      </c>
      <c r="G993" s="302"/>
      <c r="H993" s="83"/>
      <c r="I993" s="53"/>
      <c r="J993" s="53"/>
      <c r="K993" s="58"/>
    </row>
    <row r="994" spans="1:11" s="3" customFormat="1" ht="12" customHeight="1" x14ac:dyDescent="0.2">
      <c r="A994" s="207"/>
      <c r="B994" s="26" t="s">
        <v>109</v>
      </c>
      <c r="C994" s="23" t="s">
        <v>11</v>
      </c>
      <c r="D994" s="80">
        <f>VLOOKUP(B994,'Costo de Materiales'!B$4:D$350,3,FALSE)</f>
        <v>0.28999999999999998</v>
      </c>
      <c r="E994" s="45">
        <f>SUM(F992:F993)</f>
        <v>8.9649894911375677E-2</v>
      </c>
      <c r="F994" s="208">
        <f t="shared" si="90"/>
        <v>2.5998469524298944E-2</v>
      </c>
      <c r="G994" s="302"/>
      <c r="H994" s="83"/>
      <c r="I994" s="53"/>
      <c r="J994" s="53"/>
      <c r="K994" s="58"/>
    </row>
    <row r="995" spans="1:11" ht="12" customHeight="1" x14ac:dyDescent="0.2">
      <c r="A995" s="209">
        <v>19</v>
      </c>
      <c r="B995" s="88" t="s">
        <v>152</v>
      </c>
      <c r="C995" s="91" t="s">
        <v>38</v>
      </c>
      <c r="D995" s="91"/>
      <c r="E995" s="94"/>
      <c r="F995" s="210">
        <f>SUM(F996:F1003)</f>
        <v>0.21343531188306888</v>
      </c>
      <c r="G995" s="303"/>
      <c r="H995" s="83"/>
      <c r="I995" s="53"/>
      <c r="J995" s="53"/>
    </row>
    <row r="996" spans="1:11" s="3" customFormat="1" ht="12" customHeight="1" x14ac:dyDescent="0.2">
      <c r="A996" s="205"/>
      <c r="B996" s="12" t="s">
        <v>115</v>
      </c>
      <c r="C996" s="11" t="s">
        <v>38</v>
      </c>
      <c r="D996" s="11">
        <v>1.06</v>
      </c>
      <c r="E996" s="44">
        <f>VLOOKUP(B996,'Costo de Materiales'!B$4:D$350,3,FALSE)</f>
        <v>0.12028811731392902</v>
      </c>
      <c r="F996" s="206">
        <f>D996*E996</f>
        <v>0.12750540435276478</v>
      </c>
      <c r="G996" s="302"/>
      <c r="H996" s="83"/>
      <c r="I996" s="53"/>
      <c r="J996" s="53"/>
      <c r="K996" s="58"/>
    </row>
    <row r="997" spans="1:11" s="3" customFormat="1" ht="12" customHeight="1" x14ac:dyDescent="0.2">
      <c r="A997" s="205"/>
      <c r="B997" s="12" t="s">
        <v>117</v>
      </c>
      <c r="C997" s="11" t="s">
        <v>38</v>
      </c>
      <c r="D997" s="11">
        <v>6.4000000000000001E-2</v>
      </c>
      <c r="E997" s="44">
        <f>VLOOKUP(B997,'Costo de Materiales'!B$4:D$350,3,FALSE)</f>
        <v>0.12909202088821817</v>
      </c>
      <c r="F997" s="206">
        <f t="shared" ref="F997:F1003" si="91">D997*E997</f>
        <v>8.2618893368459623E-3</v>
      </c>
      <c r="G997" s="302"/>
      <c r="H997" s="83"/>
      <c r="I997" s="53"/>
      <c r="J997" s="53"/>
      <c r="K997" s="58"/>
    </row>
    <row r="998" spans="1:11" s="3" customFormat="1" ht="12" customHeight="1" x14ac:dyDescent="0.2">
      <c r="A998" s="205"/>
      <c r="B998" s="12" t="s">
        <v>122</v>
      </c>
      <c r="C998" s="11" t="s">
        <v>17</v>
      </c>
      <c r="D998" s="11">
        <v>0.64</v>
      </c>
      <c r="E998" s="44">
        <f>VLOOKUP(B998,'Costo de Materiales'!B$4:D$350,3,FALSE)</f>
        <v>3.636394954597695E-3</v>
      </c>
      <c r="F998" s="206">
        <f t="shared" si="91"/>
        <v>2.327292770942525E-3</v>
      </c>
      <c r="G998" s="302"/>
      <c r="H998" s="83"/>
      <c r="I998" s="53"/>
      <c r="J998" s="53"/>
      <c r="K998" s="58"/>
    </row>
    <row r="999" spans="1:11" s="3" customFormat="1" ht="12" customHeight="1" x14ac:dyDescent="0.2">
      <c r="A999" s="205"/>
      <c r="B999" s="12" t="s">
        <v>121</v>
      </c>
      <c r="C999" s="11" t="s">
        <v>17</v>
      </c>
      <c r="D999" s="11">
        <v>2.34</v>
      </c>
      <c r="E999" s="44">
        <f>VLOOKUP(B999,'Costo de Materiales'!B$4:D$350,3,FALSE)</f>
        <v>9.5694604068360402E-4</v>
      </c>
      <c r="F999" s="206">
        <f t="shared" si="91"/>
        <v>2.2392537351996335E-3</v>
      </c>
      <c r="G999" s="302"/>
      <c r="H999" s="83"/>
      <c r="I999" s="53"/>
      <c r="J999" s="53"/>
      <c r="K999" s="58"/>
    </row>
    <row r="1000" spans="1:11" s="3" customFormat="1" ht="12" customHeight="1" x14ac:dyDescent="0.2">
      <c r="A1000" s="205"/>
      <c r="B1000" s="12" t="s">
        <v>111</v>
      </c>
      <c r="C1000" s="11" t="s">
        <v>11</v>
      </c>
      <c r="D1000" s="11">
        <v>0.05</v>
      </c>
      <c r="E1000" s="44">
        <f>SUM(F996:F999)</f>
        <v>0.14033384019575287</v>
      </c>
      <c r="F1000" s="206">
        <f t="shared" si="91"/>
        <v>7.0166920097876444E-3</v>
      </c>
      <c r="G1000" s="302"/>
      <c r="H1000" s="83"/>
      <c r="I1000" s="53"/>
      <c r="J1000" s="53"/>
      <c r="K1000" s="58"/>
    </row>
    <row r="1001" spans="1:11" s="3" customFormat="1" ht="12" customHeight="1" x14ac:dyDescent="0.2">
      <c r="A1001" s="205"/>
      <c r="B1001" s="12" t="s">
        <v>96</v>
      </c>
      <c r="C1001" s="11" t="s">
        <v>33</v>
      </c>
      <c r="D1001" s="11">
        <v>0.04</v>
      </c>
      <c r="E1001" s="44">
        <f>VLOOKUP(B1001,'Costo de Materiales'!B$4:D$350,3,FALSE)</f>
        <v>0.92983256953090243</v>
      </c>
      <c r="F1001" s="206">
        <f t="shared" si="91"/>
        <v>3.7193302781236101E-2</v>
      </c>
      <c r="G1001" s="302"/>
      <c r="H1001" s="83"/>
      <c r="I1001" s="53"/>
      <c r="J1001" s="53"/>
      <c r="K1001" s="58"/>
    </row>
    <row r="1002" spans="1:11" s="3" customFormat="1" ht="12" customHeight="1" x14ac:dyDescent="0.2">
      <c r="A1002" s="205"/>
      <c r="B1002" s="12" t="s">
        <v>10</v>
      </c>
      <c r="C1002" s="11" t="s">
        <v>33</v>
      </c>
      <c r="D1002" s="11">
        <v>0.04</v>
      </c>
      <c r="E1002" s="44">
        <f>VLOOKUP(B1002,'Costo de Materiales'!B$4:D$350,3,FALSE)</f>
        <v>0.35088021491732146</v>
      </c>
      <c r="F1002" s="206">
        <f t="shared" si="91"/>
        <v>1.4035208596692859E-2</v>
      </c>
      <c r="G1002" s="302"/>
      <c r="H1002" s="83"/>
      <c r="I1002" s="53"/>
      <c r="J1002" s="53"/>
      <c r="K1002" s="58"/>
    </row>
    <row r="1003" spans="1:11" s="3" customFormat="1" ht="12" customHeight="1" x14ac:dyDescent="0.2">
      <c r="A1003" s="207"/>
      <c r="B1003" s="26" t="s">
        <v>109</v>
      </c>
      <c r="C1003" s="23" t="s">
        <v>11</v>
      </c>
      <c r="D1003" s="80">
        <f>VLOOKUP(B1003,'Costo de Materiales'!B$4:D$350,3,FALSE)</f>
        <v>0.28999999999999998</v>
      </c>
      <c r="E1003" s="45">
        <f>SUM(F1001:F1002)</f>
        <v>5.1228511377928956E-2</v>
      </c>
      <c r="F1003" s="208">
        <f t="shared" si="91"/>
        <v>1.4856268299599396E-2</v>
      </c>
      <c r="G1003" s="307"/>
      <c r="H1003" s="83"/>
      <c r="I1003" s="53"/>
      <c r="J1003" s="53"/>
      <c r="K1003" s="58"/>
    </row>
    <row r="1004" spans="1:11" ht="12" customHeight="1" x14ac:dyDescent="0.2">
      <c r="A1004" s="209">
        <v>20</v>
      </c>
      <c r="B1004" s="88" t="s">
        <v>151</v>
      </c>
      <c r="C1004" s="91" t="s">
        <v>38</v>
      </c>
      <c r="D1004" s="91"/>
      <c r="E1004" s="94"/>
      <c r="F1004" s="210">
        <f>SUM(F1005:F1012)</f>
        <v>0.24496170780418206</v>
      </c>
      <c r="G1004" s="302"/>
      <c r="H1004" s="83"/>
      <c r="I1004" s="53"/>
      <c r="J1004" s="53"/>
    </row>
    <row r="1005" spans="1:11" s="3" customFormat="1" ht="12" customHeight="1" x14ac:dyDescent="0.2">
      <c r="A1005" s="205"/>
      <c r="B1005" s="12" t="s">
        <v>116</v>
      </c>
      <c r="C1005" s="11" t="s">
        <v>38</v>
      </c>
      <c r="D1005" s="11">
        <v>1.06</v>
      </c>
      <c r="E1005" s="44">
        <f>VLOOKUP(B1005,'Costo de Materiales'!B$4:D$350,3,FALSE)</f>
        <v>0.14861372011816371</v>
      </c>
      <c r="F1005" s="206">
        <f>D1005*E1005</f>
        <v>0.15753054332525354</v>
      </c>
      <c r="G1005" s="302"/>
      <c r="H1005" s="83"/>
      <c r="I1005" s="53"/>
      <c r="J1005" s="53"/>
      <c r="K1005" s="58"/>
    </row>
    <row r="1006" spans="1:11" s="3" customFormat="1" ht="12" customHeight="1" x14ac:dyDescent="0.2">
      <c r="A1006" s="205"/>
      <c r="B1006" s="12" t="s">
        <v>117</v>
      </c>
      <c r="C1006" s="11" t="s">
        <v>38</v>
      </c>
      <c r="D1006" s="11">
        <v>6.4000000000000001E-2</v>
      </c>
      <c r="E1006" s="44">
        <f>VLOOKUP(B1006,'Costo de Materiales'!B$4:D$350,3,FALSE)</f>
        <v>0.12909202088821817</v>
      </c>
      <c r="F1006" s="206">
        <f t="shared" ref="F1006:F1012" si="92">D1006*E1006</f>
        <v>8.2618893368459623E-3</v>
      </c>
      <c r="G1006" s="302"/>
      <c r="H1006" s="83"/>
      <c r="I1006" s="53"/>
      <c r="J1006" s="53"/>
      <c r="K1006" s="58"/>
    </row>
    <row r="1007" spans="1:11" s="3" customFormat="1" ht="12" customHeight="1" x14ac:dyDescent="0.2">
      <c r="A1007" s="205"/>
      <c r="B1007" s="12" t="s">
        <v>122</v>
      </c>
      <c r="C1007" s="11" t="s">
        <v>17</v>
      </c>
      <c r="D1007" s="11">
        <v>0.64</v>
      </c>
      <c r="E1007" s="44">
        <f>VLOOKUP(B1007,'Costo de Materiales'!B$4:D$350,3,FALSE)</f>
        <v>3.636394954597695E-3</v>
      </c>
      <c r="F1007" s="206">
        <f t="shared" si="92"/>
        <v>2.327292770942525E-3</v>
      </c>
      <c r="G1007" s="302"/>
      <c r="H1007" s="83"/>
      <c r="I1007" s="53"/>
      <c r="J1007" s="53"/>
      <c r="K1007" s="58"/>
    </row>
    <row r="1008" spans="1:11" s="3" customFormat="1" ht="12" customHeight="1" x14ac:dyDescent="0.2">
      <c r="A1008" s="205"/>
      <c r="B1008" s="12" t="s">
        <v>121</v>
      </c>
      <c r="C1008" s="11" t="s">
        <v>17</v>
      </c>
      <c r="D1008" s="11">
        <v>2.34</v>
      </c>
      <c r="E1008" s="44">
        <f>VLOOKUP(B1008,'Costo de Materiales'!B$4:D$350,3,FALSE)</f>
        <v>9.5694604068360402E-4</v>
      </c>
      <c r="F1008" s="206">
        <f t="shared" si="92"/>
        <v>2.2392537351996335E-3</v>
      </c>
      <c r="G1008" s="302"/>
      <c r="H1008" s="83"/>
      <c r="I1008" s="53"/>
      <c r="J1008" s="53"/>
      <c r="K1008" s="58"/>
    </row>
    <row r="1009" spans="1:11" s="3" customFormat="1" ht="12" customHeight="1" x14ac:dyDescent="0.2">
      <c r="A1009" s="205"/>
      <c r="B1009" s="12" t="s">
        <v>111</v>
      </c>
      <c r="C1009" s="11" t="s">
        <v>11</v>
      </c>
      <c r="D1009" s="11">
        <v>0.05</v>
      </c>
      <c r="E1009" s="44">
        <f>SUM(F1005:F1008)</f>
        <v>0.17035897916824164</v>
      </c>
      <c r="F1009" s="206">
        <f t="shared" si="92"/>
        <v>8.5179489584120815E-3</v>
      </c>
      <c r="G1009" s="302"/>
      <c r="H1009" s="83"/>
      <c r="I1009" s="53"/>
      <c r="J1009" s="53"/>
      <c r="K1009" s="58"/>
    </row>
    <row r="1010" spans="1:11" s="3" customFormat="1" ht="12" customHeight="1" x14ac:dyDescent="0.2">
      <c r="A1010" s="205"/>
      <c r="B1010" s="12" t="s">
        <v>96</v>
      </c>
      <c r="C1010" s="11" t="s">
        <v>33</v>
      </c>
      <c r="D1010" s="11">
        <v>0.04</v>
      </c>
      <c r="E1010" s="44">
        <f>VLOOKUP(B1010,'Costo de Materiales'!B$4:D$350,3,FALSE)</f>
        <v>0.92983256953090243</v>
      </c>
      <c r="F1010" s="206">
        <f t="shared" si="92"/>
        <v>3.7193302781236101E-2</v>
      </c>
      <c r="G1010" s="302"/>
      <c r="H1010" s="83"/>
      <c r="I1010" s="53"/>
      <c r="J1010" s="53"/>
      <c r="K1010" s="58"/>
    </row>
    <row r="1011" spans="1:11" s="3" customFormat="1" ht="12" customHeight="1" x14ac:dyDescent="0.2">
      <c r="A1011" s="205"/>
      <c r="B1011" s="12" t="s">
        <v>10</v>
      </c>
      <c r="C1011" s="11" t="s">
        <v>33</v>
      </c>
      <c r="D1011" s="11">
        <v>0.04</v>
      </c>
      <c r="E1011" s="44">
        <f>VLOOKUP(B1011,'Costo de Materiales'!B$4:D$350,3,FALSE)</f>
        <v>0.35088021491732146</v>
      </c>
      <c r="F1011" s="206">
        <f t="shared" si="92"/>
        <v>1.4035208596692859E-2</v>
      </c>
      <c r="G1011" s="302"/>
      <c r="H1011" s="83"/>
      <c r="I1011" s="53"/>
      <c r="J1011" s="53"/>
      <c r="K1011" s="58"/>
    </row>
    <row r="1012" spans="1:11" s="3" customFormat="1" ht="12" customHeight="1" x14ac:dyDescent="0.2">
      <c r="A1012" s="207"/>
      <c r="B1012" s="26" t="s">
        <v>109</v>
      </c>
      <c r="C1012" s="23" t="s">
        <v>11</v>
      </c>
      <c r="D1012" s="80">
        <f>VLOOKUP(B1012,'Costo de Materiales'!B$4:D$350,3,FALSE)</f>
        <v>0.28999999999999998</v>
      </c>
      <c r="E1012" s="45">
        <f>SUM(F1010:F1011)</f>
        <v>5.1228511377928956E-2</v>
      </c>
      <c r="F1012" s="208">
        <f t="shared" si="92"/>
        <v>1.4856268299599396E-2</v>
      </c>
      <c r="G1012" s="302"/>
      <c r="H1012" s="83"/>
      <c r="I1012" s="53"/>
      <c r="J1012" s="53"/>
      <c r="K1012" s="58"/>
    </row>
    <row r="1013" spans="1:11" s="1" customFormat="1" ht="12" customHeight="1" x14ac:dyDescent="0.2">
      <c r="A1013" s="203">
        <v>21</v>
      </c>
      <c r="B1013" s="250" t="s">
        <v>193</v>
      </c>
      <c r="C1013" s="139" t="s">
        <v>38</v>
      </c>
      <c r="D1013" s="251"/>
      <c r="E1013" s="144"/>
      <c r="F1013" s="210">
        <f>SUM(F1014:F1018)</f>
        <v>8.7559701471113138E-2</v>
      </c>
      <c r="G1013" s="303"/>
      <c r="H1013" s="83"/>
      <c r="I1013" s="53"/>
      <c r="J1013" s="53"/>
      <c r="K1013" s="62"/>
    </row>
    <row r="1014" spans="1:11" s="3" customFormat="1" ht="12" customHeight="1" x14ac:dyDescent="0.2">
      <c r="A1014" s="205"/>
      <c r="B1014" s="15" t="s">
        <v>58</v>
      </c>
      <c r="C1014" s="29" t="s">
        <v>19</v>
      </c>
      <c r="D1014" s="29">
        <v>0.13</v>
      </c>
      <c r="E1014" s="46">
        <f>VLOOKUP(B1014,'Costo de Materiales'!B$4:D$350,3,FALSE)</f>
        <v>0.13751314604623388</v>
      </c>
      <c r="F1014" s="206">
        <f>D1014*E1014</f>
        <v>1.7876708986010403E-2</v>
      </c>
      <c r="G1014" s="302"/>
      <c r="H1014" s="83"/>
      <c r="I1014" s="53"/>
      <c r="J1014" s="53"/>
      <c r="K1014" s="58"/>
    </row>
    <row r="1015" spans="1:11" s="3" customFormat="1" ht="12" customHeight="1" x14ac:dyDescent="0.2">
      <c r="A1015" s="205"/>
      <c r="B1015" s="15" t="s">
        <v>111</v>
      </c>
      <c r="C1015" s="20" t="s">
        <v>11</v>
      </c>
      <c r="D1015" s="20">
        <v>0.1</v>
      </c>
      <c r="E1015" s="44">
        <f>F1014</f>
        <v>1.7876708986010403E-2</v>
      </c>
      <c r="F1015" s="206">
        <f>D1015*E1015</f>
        <v>1.7876708986010405E-3</v>
      </c>
      <c r="G1015" s="302"/>
      <c r="H1015" s="83"/>
      <c r="I1015" s="53"/>
      <c r="J1015" s="53"/>
      <c r="K1015" s="58"/>
    </row>
    <row r="1016" spans="1:11" s="3" customFormat="1" ht="12" customHeight="1" x14ac:dyDescent="0.2">
      <c r="A1016" s="205"/>
      <c r="B1016" s="15" t="s">
        <v>194</v>
      </c>
      <c r="C1016" s="20" t="s">
        <v>33</v>
      </c>
      <c r="D1016" s="20">
        <v>0.05</v>
      </c>
      <c r="E1016" s="44">
        <f>VLOOKUP(B1016,'Costo de Materiales'!B$4:D$350,3,FALSE)</f>
        <v>0.70176042983464293</v>
      </c>
      <c r="F1016" s="206">
        <f>D1016*E1016</f>
        <v>3.5088021491732145E-2</v>
      </c>
      <c r="G1016" s="302"/>
      <c r="H1016" s="83"/>
      <c r="I1016" s="53"/>
      <c r="J1016" s="53"/>
      <c r="K1016" s="58"/>
    </row>
    <row r="1017" spans="1:11" s="3" customFormat="1" ht="12" customHeight="1" x14ac:dyDescent="0.2">
      <c r="A1017" s="205"/>
      <c r="B1017" s="15" t="s">
        <v>10</v>
      </c>
      <c r="C1017" s="20" t="s">
        <v>33</v>
      </c>
      <c r="D1017" s="20">
        <v>0.05</v>
      </c>
      <c r="E1017" s="44">
        <f>VLOOKUP(B1017,'Costo de Materiales'!B$4:D$350,3,FALSE)</f>
        <v>0.35088021491732146</v>
      </c>
      <c r="F1017" s="206">
        <f>D1017*E1017</f>
        <v>1.7544010745866073E-2</v>
      </c>
      <c r="G1017" s="302"/>
      <c r="H1017" s="83"/>
      <c r="I1017" s="53"/>
      <c r="J1017" s="53"/>
      <c r="K1017" s="58"/>
    </row>
    <row r="1018" spans="1:11" s="3" customFormat="1" ht="12" customHeight="1" x14ac:dyDescent="0.2">
      <c r="A1018" s="207"/>
      <c r="B1018" s="27" t="s">
        <v>109</v>
      </c>
      <c r="C1018" s="28" t="s">
        <v>11</v>
      </c>
      <c r="D1018" s="80">
        <f>VLOOKUP(B1018,'Costo de Materiales'!B$4:D$350,3,FALSE)</f>
        <v>0.28999999999999998</v>
      </c>
      <c r="E1018" s="45">
        <f>SUM(F1016:F1017)</f>
        <v>5.2632032237598214E-2</v>
      </c>
      <c r="F1018" s="208">
        <f>D1018*E1018</f>
        <v>1.5263289348903482E-2</v>
      </c>
      <c r="G1018" s="307"/>
      <c r="H1018" s="83"/>
      <c r="I1018" s="53"/>
      <c r="J1018" s="53"/>
      <c r="K1018" s="58"/>
    </row>
    <row r="1019" spans="1:11" s="1" customFormat="1" ht="12" customHeight="1" x14ac:dyDescent="0.2">
      <c r="A1019" s="209">
        <v>22</v>
      </c>
      <c r="B1019" s="88" t="s">
        <v>435</v>
      </c>
      <c r="C1019" s="91" t="s">
        <v>38</v>
      </c>
      <c r="D1019" s="91"/>
      <c r="E1019" s="94"/>
      <c r="F1019" s="210">
        <f>SUM(F1020:F1023)</f>
        <v>2.3579892075625532E-2</v>
      </c>
      <c r="G1019" s="302"/>
      <c r="H1019" s="83"/>
      <c r="I1019" s="53"/>
      <c r="J1019" s="53"/>
      <c r="K1019" s="62"/>
    </row>
    <row r="1020" spans="1:11" s="3" customFormat="1" ht="12" customHeight="1" x14ac:dyDescent="0.2">
      <c r="A1020" s="205"/>
      <c r="B1020" s="12" t="s">
        <v>37</v>
      </c>
      <c r="C1020" s="11" t="s">
        <v>38</v>
      </c>
      <c r="D1020" s="11">
        <v>1.05</v>
      </c>
      <c r="E1020" s="44">
        <f>VLOOKUP(B1020,'Costo de Materiales'!B$4:D$350,3,FALSE)</f>
        <v>1.1339810582100707E-2</v>
      </c>
      <c r="F1020" s="206">
        <f>D1020*E1020</f>
        <v>1.1906801111205742E-2</v>
      </c>
      <c r="G1020" s="302"/>
      <c r="H1020" s="83"/>
      <c r="I1020" s="53"/>
      <c r="J1020" s="53"/>
      <c r="K1020" s="58"/>
    </row>
    <row r="1021" spans="1:11" s="3" customFormat="1" ht="12" customHeight="1" x14ac:dyDescent="0.2">
      <c r="A1021" s="205"/>
      <c r="B1021" s="12" t="s">
        <v>111</v>
      </c>
      <c r="C1021" s="11" t="s">
        <v>11</v>
      </c>
      <c r="D1021" s="11">
        <v>0.03</v>
      </c>
      <c r="E1021" s="44">
        <f>F1020</f>
        <v>1.1906801111205742E-2</v>
      </c>
      <c r="F1021" s="206">
        <f>D1021*E1021</f>
        <v>3.5720403333617227E-4</v>
      </c>
      <c r="G1021" s="302"/>
      <c r="H1021" s="83"/>
      <c r="I1021" s="53"/>
      <c r="J1021" s="53"/>
      <c r="K1021" s="58"/>
    </row>
    <row r="1022" spans="1:11" s="3" customFormat="1" ht="12" customHeight="1" x14ac:dyDescent="0.2">
      <c r="A1022" s="205"/>
      <c r="B1022" s="12" t="s">
        <v>10</v>
      </c>
      <c r="C1022" s="11" t="s">
        <v>33</v>
      </c>
      <c r="D1022" s="11">
        <v>2.5000000000000001E-2</v>
      </c>
      <c r="E1022" s="44">
        <f>VLOOKUP(B1022,'Costo de Materiales'!B$4:D$350,3,FALSE)</f>
        <v>0.35088021491732146</v>
      </c>
      <c r="F1022" s="206">
        <f>D1022*E1022</f>
        <v>8.7720053729330363E-3</v>
      </c>
      <c r="G1022" s="302"/>
      <c r="H1022" s="83"/>
      <c r="I1022" s="53"/>
      <c r="J1022" s="53"/>
      <c r="K1022" s="58"/>
    </row>
    <row r="1023" spans="1:11" s="3" customFormat="1" ht="12" customHeight="1" x14ac:dyDescent="0.2">
      <c r="A1023" s="207"/>
      <c r="B1023" s="26" t="s">
        <v>109</v>
      </c>
      <c r="C1023" s="23" t="s">
        <v>11</v>
      </c>
      <c r="D1023" s="80">
        <f>VLOOKUP(B1023,'Costo de Materiales'!B$4:D$350,3,FALSE)</f>
        <v>0.28999999999999998</v>
      </c>
      <c r="E1023" s="45">
        <f>F1022</f>
        <v>8.7720053729330363E-3</v>
      </c>
      <c r="F1023" s="206">
        <f>D1023*E1023</f>
        <v>2.5438815581505804E-3</v>
      </c>
      <c r="G1023" s="302"/>
      <c r="H1023" s="83"/>
      <c r="I1023" s="53"/>
      <c r="J1023" s="53"/>
      <c r="K1023" s="58"/>
    </row>
    <row r="1024" spans="1:11" s="1" customFormat="1" ht="12" customHeight="1" x14ac:dyDescent="0.2">
      <c r="A1024" s="209">
        <v>23</v>
      </c>
      <c r="B1024" s="88" t="s">
        <v>434</v>
      </c>
      <c r="C1024" s="91" t="s">
        <v>38</v>
      </c>
      <c r="D1024" s="91"/>
      <c r="E1024" s="94"/>
      <c r="F1024" s="210">
        <f>SUM(F1025:F1028)</f>
        <v>3.9776658363564851E-2</v>
      </c>
      <c r="G1024" s="303"/>
      <c r="H1024" s="83"/>
      <c r="I1024" s="53"/>
      <c r="J1024" s="53"/>
      <c r="K1024" s="62"/>
    </row>
    <row r="1025" spans="1:11" s="3" customFormat="1" ht="12" customHeight="1" x14ac:dyDescent="0.2">
      <c r="A1025" s="205"/>
      <c r="B1025" s="12" t="s">
        <v>148</v>
      </c>
      <c r="C1025" s="11" t="s">
        <v>38</v>
      </c>
      <c r="D1025" s="11">
        <v>1.05</v>
      </c>
      <c r="E1025" s="44">
        <f>VLOOKUP(B1025,'Costo de Materiales'!B$4:D$350,3,FALSE)</f>
        <v>2.6316016118799111E-2</v>
      </c>
      <c r="F1025" s="206">
        <f>D1025*E1025</f>
        <v>2.7631816924739067E-2</v>
      </c>
      <c r="G1025" s="302"/>
      <c r="H1025" s="83"/>
      <c r="I1025" s="53"/>
      <c r="J1025" s="53"/>
      <c r="K1025" s="58"/>
    </row>
    <row r="1026" spans="1:11" s="3" customFormat="1" ht="12" customHeight="1" x14ac:dyDescent="0.2">
      <c r="A1026" s="205"/>
      <c r="B1026" s="12" t="s">
        <v>111</v>
      </c>
      <c r="C1026" s="11" t="s">
        <v>11</v>
      </c>
      <c r="D1026" s="11">
        <v>0.03</v>
      </c>
      <c r="E1026" s="44">
        <f>F1025</f>
        <v>2.7631816924739067E-2</v>
      </c>
      <c r="F1026" s="206">
        <f>D1026*E1026</f>
        <v>8.28954507742172E-4</v>
      </c>
      <c r="G1026" s="302"/>
      <c r="H1026" s="83"/>
      <c r="I1026" s="53"/>
      <c r="J1026" s="53"/>
      <c r="K1026" s="58"/>
    </row>
    <row r="1027" spans="1:11" s="3" customFormat="1" ht="12" customHeight="1" x14ac:dyDescent="0.2">
      <c r="A1027" s="205"/>
      <c r="B1027" s="12" t="s">
        <v>10</v>
      </c>
      <c r="C1027" s="11" t="s">
        <v>33</v>
      </c>
      <c r="D1027" s="11">
        <v>2.5000000000000001E-2</v>
      </c>
      <c r="E1027" s="44">
        <f>VLOOKUP(B1027,'Costo de Materiales'!B$4:D$350,3,FALSE)</f>
        <v>0.35088021491732146</v>
      </c>
      <c r="F1027" s="206">
        <f>D1027*E1027</f>
        <v>8.7720053729330363E-3</v>
      </c>
      <c r="G1027" s="302"/>
      <c r="H1027" s="83"/>
      <c r="I1027" s="53"/>
      <c r="J1027" s="53"/>
      <c r="K1027" s="58"/>
    </row>
    <row r="1028" spans="1:11" s="3" customFormat="1" ht="12" customHeight="1" x14ac:dyDescent="0.2">
      <c r="A1028" s="207"/>
      <c r="B1028" s="26" t="s">
        <v>109</v>
      </c>
      <c r="C1028" s="23" t="s">
        <v>11</v>
      </c>
      <c r="D1028" s="80">
        <f>VLOOKUP(B1028,'Costo de Materiales'!B$4:D$350,3,FALSE)</f>
        <v>0.28999999999999998</v>
      </c>
      <c r="E1028" s="45">
        <f>F1027</f>
        <v>8.7720053729330363E-3</v>
      </c>
      <c r="F1028" s="208">
        <f>D1028*E1028</f>
        <v>2.5438815581505804E-3</v>
      </c>
      <c r="G1028" s="307"/>
      <c r="H1028" s="83"/>
      <c r="I1028" s="53"/>
      <c r="J1028" s="53"/>
      <c r="K1028" s="58"/>
    </row>
    <row r="1029" spans="1:11" s="1" customFormat="1" ht="12" customHeight="1" x14ac:dyDescent="0.2">
      <c r="A1029" s="209">
        <v>24</v>
      </c>
      <c r="B1029" s="93" t="s">
        <v>359</v>
      </c>
      <c r="C1029" s="91" t="s">
        <v>38</v>
      </c>
      <c r="D1029" s="93"/>
      <c r="E1029" s="94"/>
      <c r="F1029" s="210">
        <f>SUM(F1030:F1036)</f>
        <v>0.4333330334902406</v>
      </c>
      <c r="G1029" s="302"/>
      <c r="H1029" s="83"/>
      <c r="I1029" s="54"/>
      <c r="J1029" s="54"/>
      <c r="K1029" s="64"/>
    </row>
    <row r="1030" spans="1:11" s="3" customFormat="1" ht="12" customHeight="1" x14ac:dyDescent="0.2">
      <c r="A1030" s="205"/>
      <c r="B1030" s="12" t="s">
        <v>285</v>
      </c>
      <c r="C1030" s="11" t="s">
        <v>568</v>
      </c>
      <c r="D1030" s="11">
        <v>1.67</v>
      </c>
      <c r="E1030" s="44">
        <f>VLOOKUP(B1030,'Costo de Materiales'!B$4:D$350,3,FALSE)</f>
        <v>3.1770608550695655E-2</v>
      </c>
      <c r="F1030" s="206">
        <f t="shared" ref="F1030:F1036" si="93">D1030*E1030</f>
        <v>5.3056916279661741E-2</v>
      </c>
      <c r="G1030" s="302"/>
      <c r="H1030" s="83"/>
      <c r="I1030" s="53"/>
      <c r="J1030" s="53"/>
      <c r="K1030" s="58"/>
    </row>
    <row r="1031" spans="1:11" s="3" customFormat="1" ht="12" customHeight="1" x14ac:dyDescent="0.2">
      <c r="A1031" s="205"/>
      <c r="B1031" s="17" t="s">
        <v>27</v>
      </c>
      <c r="C1031" s="11" t="s">
        <v>38</v>
      </c>
      <c r="D1031" s="11">
        <v>1.1000000000000001</v>
      </c>
      <c r="E1031" s="44">
        <f>VLOOKUP(B1031,'Costo de Materiales'!B$4:D$350,3,FALSE)</f>
        <v>0.19062365130417391</v>
      </c>
      <c r="F1031" s="206">
        <f t="shared" si="93"/>
        <v>0.20968601643459131</v>
      </c>
      <c r="G1031" s="302"/>
      <c r="H1031" s="83"/>
      <c r="I1031" s="53"/>
      <c r="J1031" s="53"/>
      <c r="K1031" s="58"/>
    </row>
    <row r="1032" spans="1:11" s="3" customFormat="1" ht="12" customHeight="1" x14ac:dyDescent="0.2">
      <c r="A1032" s="205"/>
      <c r="B1032" s="12" t="s">
        <v>72</v>
      </c>
      <c r="C1032" s="11" t="s">
        <v>18</v>
      </c>
      <c r="D1032" s="11">
        <v>0.15</v>
      </c>
      <c r="E1032" s="44">
        <f>VLOOKUP(B1032,'Costo de Materiales'!B$4:D$350,3,FALSE)</f>
        <v>5.7033984024742801E-2</v>
      </c>
      <c r="F1032" s="206">
        <f t="shared" si="93"/>
        <v>8.5550976037114205E-3</v>
      </c>
      <c r="G1032" s="302"/>
      <c r="H1032" s="83"/>
      <c r="I1032" s="53"/>
      <c r="J1032" s="53"/>
      <c r="K1032" s="58"/>
    </row>
    <row r="1033" spans="1:11" s="3" customFormat="1" ht="12" customHeight="1" x14ac:dyDescent="0.2">
      <c r="A1033" s="205"/>
      <c r="B1033" s="12" t="s">
        <v>111</v>
      </c>
      <c r="C1033" s="11" t="s">
        <v>11</v>
      </c>
      <c r="D1033" s="11">
        <v>0.03</v>
      </c>
      <c r="E1033" s="44">
        <f>SUM(F1030:F1032)</f>
        <v>0.27129803031796446</v>
      </c>
      <c r="F1033" s="206">
        <f t="shared" si="93"/>
        <v>8.1389409095389328E-3</v>
      </c>
      <c r="G1033" s="302"/>
      <c r="H1033" s="83"/>
      <c r="I1033" s="53"/>
      <c r="J1033" s="53"/>
      <c r="K1033" s="58"/>
    </row>
    <row r="1034" spans="1:11" s="3" customFormat="1" ht="12" customHeight="1" x14ac:dyDescent="0.2">
      <c r="A1034" s="205"/>
      <c r="B1034" s="12" t="s">
        <v>83</v>
      </c>
      <c r="C1034" s="11" t="s">
        <v>33</v>
      </c>
      <c r="D1034" s="11">
        <v>0.1</v>
      </c>
      <c r="E1034" s="44">
        <f>VLOOKUP(B1034,'Costo de Materiales'!B$4:D$350,3,FALSE)</f>
        <v>0.84211251580157165</v>
      </c>
      <c r="F1034" s="206">
        <f t="shared" si="93"/>
        <v>8.4211251580157173E-2</v>
      </c>
      <c r="G1034" s="302"/>
      <c r="H1034" s="83"/>
      <c r="I1034" s="53"/>
      <c r="J1034" s="53"/>
      <c r="K1034" s="58"/>
    </row>
    <row r="1035" spans="1:11" s="3" customFormat="1" ht="12" customHeight="1" x14ac:dyDescent="0.2">
      <c r="A1035" s="205"/>
      <c r="B1035" s="10" t="s">
        <v>10</v>
      </c>
      <c r="C1035" s="11" t="s">
        <v>33</v>
      </c>
      <c r="D1035" s="11">
        <v>0.1</v>
      </c>
      <c r="E1035" s="44">
        <f>VLOOKUP(B1035,'Costo de Materiales'!B$4:D$350,3,FALSE)</f>
        <v>0.35088021491732146</v>
      </c>
      <c r="F1035" s="206">
        <f t="shared" si="93"/>
        <v>3.5088021491732145E-2</v>
      </c>
      <c r="G1035" s="302"/>
      <c r="H1035" s="83"/>
      <c r="I1035" s="53"/>
      <c r="J1035" s="53"/>
      <c r="K1035" s="58"/>
    </row>
    <row r="1036" spans="1:11" s="3" customFormat="1" ht="12" customHeight="1" x14ac:dyDescent="0.2">
      <c r="A1036" s="207"/>
      <c r="B1036" s="26" t="s">
        <v>109</v>
      </c>
      <c r="C1036" s="23" t="s">
        <v>11</v>
      </c>
      <c r="D1036" s="80">
        <f>VLOOKUP(B1036,'Costo de Materiales'!B$4:D$350,3,FALSE)</f>
        <v>0.28999999999999998</v>
      </c>
      <c r="E1036" s="45">
        <f>SUM(F1034:F1035)</f>
        <v>0.11929927307188931</v>
      </c>
      <c r="F1036" s="206">
        <f t="shared" si="93"/>
        <v>3.4596789190847896E-2</v>
      </c>
      <c r="G1036" s="302"/>
      <c r="H1036" s="83"/>
      <c r="I1036" s="53"/>
      <c r="J1036" s="53"/>
      <c r="K1036" s="58"/>
    </row>
    <row r="1037" spans="1:11" s="1" customFormat="1" ht="12" customHeight="1" x14ac:dyDescent="0.2">
      <c r="A1037" s="209">
        <v>25</v>
      </c>
      <c r="B1037" s="88" t="s">
        <v>360</v>
      </c>
      <c r="C1037" s="91" t="s">
        <v>38</v>
      </c>
      <c r="D1037" s="88"/>
      <c r="E1037" s="94"/>
      <c r="F1037" s="210">
        <f>SUM(F1038:F1045)</f>
        <v>0.32829151160153536</v>
      </c>
      <c r="G1037" s="303"/>
      <c r="H1037" s="83"/>
      <c r="I1037" s="53"/>
      <c r="J1037" s="53"/>
      <c r="K1037" s="62"/>
    </row>
    <row r="1038" spans="1:11" s="3" customFormat="1" ht="12" customHeight="1" x14ac:dyDescent="0.2">
      <c r="A1038" s="205"/>
      <c r="B1038" s="12" t="s">
        <v>285</v>
      </c>
      <c r="C1038" s="11" t="s">
        <v>568</v>
      </c>
      <c r="D1038" s="11">
        <v>1.67</v>
      </c>
      <c r="E1038" s="44">
        <f>VLOOKUP(B1038,'Costo de Materiales'!B$4:D$350,3,FALSE)</f>
        <v>3.1770608550695655E-2</v>
      </c>
      <c r="F1038" s="206">
        <f>D1038*E1038</f>
        <v>5.3056916279661741E-2</v>
      </c>
      <c r="G1038" s="302"/>
      <c r="H1038" s="83"/>
      <c r="I1038" s="53"/>
      <c r="J1038" s="53"/>
      <c r="K1038" s="58"/>
    </row>
    <row r="1039" spans="1:11" s="3" customFormat="1" ht="12" customHeight="1" x14ac:dyDescent="0.2">
      <c r="A1039" s="205"/>
      <c r="B1039" s="12" t="s">
        <v>471</v>
      </c>
      <c r="C1039" s="11" t="s">
        <v>17</v>
      </c>
      <c r="D1039" s="11">
        <v>2.5</v>
      </c>
      <c r="E1039" s="44">
        <f>VLOOKUP(B1039,'Costo de Materiales'!B$4:D$350,3,FALSE)</f>
        <v>4.2966877226693817E-2</v>
      </c>
      <c r="F1039" s="206">
        <f t="shared" ref="F1039:F1045" si="94">D1039*E1039</f>
        <v>0.10741719306673454</v>
      </c>
      <c r="G1039" s="302"/>
      <c r="H1039" s="83"/>
      <c r="I1039" s="53"/>
      <c r="J1039" s="53"/>
      <c r="K1039" s="58"/>
    </row>
    <row r="1040" spans="1:11" s="3" customFormat="1" ht="12" customHeight="1" x14ac:dyDescent="0.2">
      <c r="A1040" s="205"/>
      <c r="B1040" s="12" t="s">
        <v>73</v>
      </c>
      <c r="C1040" s="11" t="s">
        <v>18</v>
      </c>
      <c r="D1040" s="11">
        <v>7.0000000000000007E-2</v>
      </c>
      <c r="E1040" s="44">
        <f>VLOOKUP(B1040,'Costo de Materiales'!B$4:D$350,3,FALSE)</f>
        <v>5.26798795396324E-2</v>
      </c>
      <c r="F1040" s="206">
        <f t="shared" si="94"/>
        <v>3.6875915677742682E-3</v>
      </c>
      <c r="G1040" s="302"/>
      <c r="H1040" s="83"/>
      <c r="I1040" s="53"/>
      <c r="J1040" s="53"/>
      <c r="K1040" s="58"/>
    </row>
    <row r="1041" spans="1:11" s="3" customFormat="1" ht="12" customHeight="1" x14ac:dyDescent="0.2">
      <c r="A1041" s="205"/>
      <c r="B1041" s="12" t="s">
        <v>71</v>
      </c>
      <c r="C1041" s="11" t="s">
        <v>18</v>
      </c>
      <c r="D1041" s="11">
        <v>0.04</v>
      </c>
      <c r="E1041" s="44">
        <f>VLOOKUP(B1041,'Costo de Materiales'!B$4:D$350,3,FALSE)</f>
        <v>4.8230080450453641E-2</v>
      </c>
      <c r="F1041" s="206">
        <f t="shared" si="94"/>
        <v>1.9292032180181456E-3</v>
      </c>
      <c r="G1041" s="302"/>
      <c r="H1041" s="83"/>
      <c r="I1041" s="53"/>
      <c r="J1041" s="53"/>
      <c r="K1041" s="58"/>
    </row>
    <row r="1042" spans="1:11" s="3" customFormat="1" ht="12" customHeight="1" x14ac:dyDescent="0.2">
      <c r="A1042" s="205"/>
      <c r="B1042" s="12" t="s">
        <v>111</v>
      </c>
      <c r="C1042" s="11" t="s">
        <v>11</v>
      </c>
      <c r="D1042" s="11">
        <v>0.05</v>
      </c>
      <c r="E1042" s="44">
        <f>SUM(F1038:F1041)</f>
        <v>0.16609090413218869</v>
      </c>
      <c r="F1042" s="206">
        <f t="shared" si="94"/>
        <v>8.3045452066094344E-3</v>
      </c>
      <c r="G1042" s="302"/>
      <c r="H1042" s="83"/>
      <c r="I1042" s="53"/>
      <c r="J1042" s="53"/>
      <c r="K1042" s="58"/>
    </row>
    <row r="1043" spans="1:11" s="3" customFormat="1" ht="12" customHeight="1" x14ac:dyDescent="0.2">
      <c r="A1043" s="205"/>
      <c r="B1043" s="12" t="s">
        <v>83</v>
      </c>
      <c r="C1043" s="11" t="s">
        <v>33</v>
      </c>
      <c r="D1043" s="11">
        <v>0.1</v>
      </c>
      <c r="E1043" s="44">
        <f>VLOOKUP(B1043,'Costo de Materiales'!B$4:D$350,3,FALSE)</f>
        <v>0.84211251580157165</v>
      </c>
      <c r="F1043" s="206">
        <f t="shared" si="94"/>
        <v>8.4211251580157173E-2</v>
      </c>
      <c r="G1043" s="302"/>
      <c r="H1043" s="83"/>
      <c r="I1043" s="53"/>
      <c r="J1043" s="53"/>
      <c r="K1043" s="58"/>
    </row>
    <row r="1044" spans="1:11" s="3" customFormat="1" ht="12" customHeight="1" x14ac:dyDescent="0.2">
      <c r="A1044" s="205"/>
      <c r="B1044" s="10" t="s">
        <v>10</v>
      </c>
      <c r="C1044" s="11" t="s">
        <v>33</v>
      </c>
      <c r="D1044" s="11">
        <v>0.1</v>
      </c>
      <c r="E1044" s="44">
        <f>VLOOKUP(B1044,'Costo de Materiales'!B$4:D$350,3,FALSE)</f>
        <v>0.35088021491732146</v>
      </c>
      <c r="F1044" s="206">
        <f t="shared" si="94"/>
        <v>3.5088021491732145E-2</v>
      </c>
      <c r="G1044" s="302"/>
      <c r="H1044" s="83"/>
      <c r="I1044" s="53"/>
      <c r="J1044" s="53"/>
      <c r="K1044" s="58"/>
    </row>
    <row r="1045" spans="1:11" s="3" customFormat="1" ht="12" customHeight="1" x14ac:dyDescent="0.2">
      <c r="A1045" s="207"/>
      <c r="B1045" s="26" t="s">
        <v>109</v>
      </c>
      <c r="C1045" s="23" t="s">
        <v>11</v>
      </c>
      <c r="D1045" s="80">
        <f>VLOOKUP(B1045,'Costo de Materiales'!B$4:D$350,3,FALSE)</f>
        <v>0.28999999999999998</v>
      </c>
      <c r="E1045" s="45">
        <f>SUM(F1043:F1044)</f>
        <v>0.11929927307188931</v>
      </c>
      <c r="F1045" s="208">
        <f t="shared" si="94"/>
        <v>3.4596789190847896E-2</v>
      </c>
      <c r="G1045" s="307"/>
      <c r="H1045" s="83"/>
      <c r="I1045" s="53"/>
      <c r="J1045" s="53"/>
      <c r="K1045" s="58"/>
    </row>
    <row r="1046" spans="1:11" s="1" customFormat="1" ht="12" customHeight="1" x14ac:dyDescent="0.2">
      <c r="A1046" s="209">
        <v>26</v>
      </c>
      <c r="B1046" s="93" t="s">
        <v>229</v>
      </c>
      <c r="C1046" s="95" t="s">
        <v>568</v>
      </c>
      <c r="D1046" s="95"/>
      <c r="E1046" s="94"/>
      <c r="F1046" s="210">
        <f>SUM(F1047:F1052)</f>
        <v>5.0388146883561691E-2</v>
      </c>
      <c r="G1046" s="302"/>
      <c r="H1046" s="83"/>
      <c r="I1046" s="53"/>
      <c r="J1046" s="53"/>
      <c r="K1046" s="62"/>
    </row>
    <row r="1047" spans="1:11" s="3" customFormat="1" ht="12" customHeight="1" x14ac:dyDescent="0.2">
      <c r="A1047" s="205"/>
      <c r="B1047" s="12" t="s">
        <v>232</v>
      </c>
      <c r="C1047" s="11" t="s">
        <v>17</v>
      </c>
      <c r="D1047" s="11">
        <v>0.33</v>
      </c>
      <c r="E1047" s="44">
        <f>VLOOKUP(B1047,'Costo de Materiales'!B$4:D$350,3,FALSE)</f>
        <v>5.0239667135889211E-2</v>
      </c>
      <c r="F1047" s="206">
        <f t="shared" ref="F1047:F1052" si="95">D1047*E1047</f>
        <v>1.6579090154843441E-2</v>
      </c>
      <c r="G1047" s="302"/>
      <c r="H1047" s="83"/>
      <c r="I1047" s="53"/>
      <c r="J1047" s="53"/>
      <c r="K1047" s="58"/>
    </row>
    <row r="1048" spans="1:11" s="3" customFormat="1" ht="12" customHeight="1" x14ac:dyDescent="0.2">
      <c r="A1048" s="205"/>
      <c r="B1048" s="12" t="s">
        <v>85</v>
      </c>
      <c r="C1048" s="11" t="s">
        <v>17</v>
      </c>
      <c r="D1048" s="11">
        <v>2</v>
      </c>
      <c r="E1048" s="44">
        <f>VLOOKUP(B1048,'Costo de Materiales'!B$4:D$350,3,FALSE)</f>
        <v>2.4880597057773705E-3</v>
      </c>
      <c r="F1048" s="206">
        <f t="shared" si="95"/>
        <v>4.976119411554741E-3</v>
      </c>
      <c r="G1048" s="302"/>
      <c r="H1048" s="83"/>
      <c r="I1048" s="53"/>
      <c r="J1048" s="53"/>
      <c r="K1048" s="58"/>
    </row>
    <row r="1049" spans="1:11" s="3" customFormat="1" ht="12" customHeight="1" x14ac:dyDescent="0.2">
      <c r="A1049" s="205"/>
      <c r="B1049" s="12" t="s">
        <v>86</v>
      </c>
      <c r="C1049" s="11" t="s">
        <v>18</v>
      </c>
      <c r="D1049" s="11">
        <v>4.0000000000000001E-3</v>
      </c>
      <c r="E1049" s="44">
        <f>VLOOKUP(B1049,'Costo de Materiales'!B$4:D$350,3,FALSE)</f>
        <v>0.14215433434354938</v>
      </c>
      <c r="F1049" s="206">
        <f t="shared" si="95"/>
        <v>5.6861733737419747E-4</v>
      </c>
      <c r="G1049" s="302"/>
      <c r="H1049" s="83"/>
      <c r="I1049" s="53"/>
      <c r="J1049" s="53"/>
      <c r="K1049" s="58"/>
    </row>
    <row r="1050" spans="1:11" s="3" customFormat="1" ht="12" customHeight="1" x14ac:dyDescent="0.2">
      <c r="A1050" s="205"/>
      <c r="B1050" s="12" t="s">
        <v>111</v>
      </c>
      <c r="C1050" s="11" t="s">
        <v>11</v>
      </c>
      <c r="D1050" s="11">
        <v>0.05</v>
      </c>
      <c r="E1050" s="44">
        <f>SUM(F1047:F1049)</f>
        <v>2.2123826903772383E-2</v>
      </c>
      <c r="F1050" s="206">
        <f t="shared" si="95"/>
        <v>1.1061913451886191E-3</v>
      </c>
      <c r="G1050" s="302"/>
      <c r="H1050" s="83"/>
      <c r="I1050" s="53"/>
      <c r="J1050" s="53"/>
      <c r="K1050" s="58"/>
    </row>
    <row r="1051" spans="1:11" s="3" customFormat="1" ht="12" customHeight="1" x14ac:dyDescent="0.2">
      <c r="A1051" s="205"/>
      <c r="B1051" s="12" t="s">
        <v>83</v>
      </c>
      <c r="C1051" s="11" t="s">
        <v>33</v>
      </c>
      <c r="D1051" s="11">
        <v>2.5000000000000001E-2</v>
      </c>
      <c r="E1051" s="44">
        <f>VLOOKUP(B1051,'Costo de Materiales'!B$4:D$350,3,FALSE)</f>
        <v>0.84211251580157165</v>
      </c>
      <c r="F1051" s="206">
        <f t="shared" si="95"/>
        <v>2.1052812895039293E-2</v>
      </c>
      <c r="G1051" s="302"/>
      <c r="H1051" s="83"/>
      <c r="I1051" s="53"/>
      <c r="J1051" s="53"/>
      <c r="K1051" s="58"/>
    </row>
    <row r="1052" spans="1:11" s="3" customFormat="1" ht="12" customHeight="1" x14ac:dyDescent="0.2">
      <c r="A1052" s="207"/>
      <c r="B1052" s="26" t="s">
        <v>109</v>
      </c>
      <c r="C1052" s="23" t="s">
        <v>11</v>
      </c>
      <c r="D1052" s="80">
        <f>VLOOKUP(B1052,'Costo de Materiales'!B$4:D$350,3,FALSE)</f>
        <v>0.28999999999999998</v>
      </c>
      <c r="E1052" s="45">
        <f>F1051</f>
        <v>2.1052812895039293E-2</v>
      </c>
      <c r="F1052" s="208">
        <f t="shared" si="95"/>
        <v>6.1053157395613948E-3</v>
      </c>
      <c r="G1052" s="302"/>
      <c r="H1052" s="83"/>
      <c r="I1052" s="53"/>
      <c r="J1052" s="53"/>
      <c r="K1052" s="58"/>
    </row>
    <row r="1053" spans="1:11" s="1" customFormat="1" ht="12" customHeight="1" x14ac:dyDescent="0.2">
      <c r="A1053" s="209">
        <v>27</v>
      </c>
      <c r="B1053" s="93" t="s">
        <v>230</v>
      </c>
      <c r="C1053" s="95" t="s">
        <v>568</v>
      </c>
      <c r="D1053" s="95"/>
      <c r="E1053" s="94"/>
      <c r="F1053" s="210">
        <f>SUM(F1054:F1059)</f>
        <v>7.8547480313227599E-2</v>
      </c>
      <c r="G1053" s="303"/>
      <c r="H1053" s="83"/>
      <c r="I1053" s="53"/>
      <c r="J1053" s="53"/>
      <c r="K1053" s="62"/>
    </row>
    <row r="1054" spans="1:11" s="3" customFormat="1" ht="12" customHeight="1" x14ac:dyDescent="0.2">
      <c r="A1054" s="205"/>
      <c r="B1054" s="12" t="s">
        <v>231</v>
      </c>
      <c r="C1054" s="11" t="s">
        <v>568</v>
      </c>
      <c r="D1054" s="11">
        <v>1</v>
      </c>
      <c r="E1054" s="44">
        <f>VLOOKUP(B1054,'Costo de Materiales'!B$4:D$350,3,FALSE)</f>
        <v>4.3397502945001443E-2</v>
      </c>
      <c r="F1054" s="206">
        <f t="shared" ref="F1054:F1059" si="96">D1054*E1054</f>
        <v>4.3397502945001443E-2</v>
      </c>
      <c r="G1054" s="302"/>
      <c r="H1054" s="83"/>
      <c r="I1054" s="53"/>
      <c r="J1054" s="53"/>
      <c r="K1054" s="58"/>
    </row>
    <row r="1055" spans="1:11" s="3" customFormat="1" ht="12" customHeight="1" x14ac:dyDescent="0.2">
      <c r="A1055" s="205"/>
      <c r="B1055" s="12" t="s">
        <v>85</v>
      </c>
      <c r="C1055" s="11" t="s">
        <v>17</v>
      </c>
      <c r="D1055" s="11">
        <v>2</v>
      </c>
      <c r="E1055" s="44">
        <f>VLOOKUP(B1055,'Costo de Materiales'!B$4:D$350,3,FALSE)</f>
        <v>2.4880597057773705E-3</v>
      </c>
      <c r="F1055" s="206">
        <f t="shared" si="96"/>
        <v>4.976119411554741E-3</v>
      </c>
      <c r="G1055" s="302"/>
      <c r="H1055" s="83"/>
      <c r="I1055" s="53"/>
      <c r="J1055" s="53"/>
      <c r="K1055" s="58"/>
    </row>
    <row r="1056" spans="1:11" s="3" customFormat="1" ht="12" customHeight="1" x14ac:dyDescent="0.2">
      <c r="A1056" s="205"/>
      <c r="B1056" s="12" t="s">
        <v>86</v>
      </c>
      <c r="C1056" s="11" t="s">
        <v>18</v>
      </c>
      <c r="D1056" s="11">
        <v>4.0000000000000001E-3</v>
      </c>
      <c r="E1056" s="44">
        <f>VLOOKUP(B1056,'Costo de Materiales'!B$4:D$350,3,FALSE)</f>
        <v>0.14215433434354938</v>
      </c>
      <c r="F1056" s="206">
        <f t="shared" si="96"/>
        <v>5.6861733737419747E-4</v>
      </c>
      <c r="G1056" s="302"/>
      <c r="H1056" s="83"/>
      <c r="I1056" s="53"/>
      <c r="J1056" s="53"/>
      <c r="K1056" s="58"/>
    </row>
    <row r="1057" spans="1:11" s="3" customFormat="1" ht="12" customHeight="1" x14ac:dyDescent="0.2">
      <c r="A1057" s="205"/>
      <c r="B1057" s="12" t="s">
        <v>111</v>
      </c>
      <c r="C1057" s="11" t="s">
        <v>11</v>
      </c>
      <c r="D1057" s="11">
        <v>0.05</v>
      </c>
      <c r="E1057" s="44">
        <f>SUM(F1054:F1056)</f>
        <v>4.8942239693930384E-2</v>
      </c>
      <c r="F1057" s="206">
        <f t="shared" si="96"/>
        <v>2.4471119846965193E-3</v>
      </c>
      <c r="G1057" s="302"/>
      <c r="H1057" s="83"/>
      <c r="I1057" s="53"/>
      <c r="J1057" s="53"/>
      <c r="K1057" s="58"/>
    </row>
    <row r="1058" spans="1:11" s="3" customFormat="1" ht="12" customHeight="1" x14ac:dyDescent="0.2">
      <c r="A1058" s="205"/>
      <c r="B1058" s="12" t="s">
        <v>83</v>
      </c>
      <c r="C1058" s="11" t="s">
        <v>33</v>
      </c>
      <c r="D1058" s="11">
        <v>2.5000000000000001E-2</v>
      </c>
      <c r="E1058" s="44">
        <f>VLOOKUP(B1058,'Costo de Materiales'!B$4:D$350,3,FALSE)</f>
        <v>0.84211251580157165</v>
      </c>
      <c r="F1058" s="206">
        <f t="shared" si="96"/>
        <v>2.1052812895039293E-2</v>
      </c>
      <c r="G1058" s="302"/>
      <c r="H1058" s="83"/>
      <c r="I1058" s="53"/>
      <c r="J1058" s="53"/>
      <c r="K1058" s="58"/>
    </row>
    <row r="1059" spans="1:11" s="3" customFormat="1" ht="12" customHeight="1" x14ac:dyDescent="0.2">
      <c r="A1059" s="207"/>
      <c r="B1059" s="26" t="s">
        <v>109</v>
      </c>
      <c r="C1059" s="23" t="s">
        <v>11</v>
      </c>
      <c r="D1059" s="80">
        <f>VLOOKUP(B1059,'Costo de Materiales'!B$4:D$350,3,FALSE)</f>
        <v>0.28999999999999998</v>
      </c>
      <c r="E1059" s="45">
        <f>F1058</f>
        <v>2.1052812895039293E-2</v>
      </c>
      <c r="F1059" s="208">
        <f t="shared" si="96"/>
        <v>6.1053157395613948E-3</v>
      </c>
      <c r="G1059" s="307"/>
      <c r="H1059" s="83"/>
      <c r="I1059" s="53"/>
      <c r="J1059" s="53"/>
      <c r="K1059" s="58"/>
    </row>
    <row r="1060" spans="1:11" ht="12" customHeight="1" x14ac:dyDescent="0.2">
      <c r="A1060" s="209">
        <v>28</v>
      </c>
      <c r="B1060" s="88" t="s">
        <v>363</v>
      </c>
      <c r="C1060" s="91" t="s">
        <v>38</v>
      </c>
      <c r="D1060" s="91"/>
      <c r="E1060" s="92"/>
      <c r="F1060" s="210">
        <f>SUM(F1061:F1064)</f>
        <v>1.8767434360678702E-2</v>
      </c>
      <c r="G1060" s="302"/>
      <c r="H1060" s="83"/>
      <c r="I1060" s="53"/>
      <c r="J1060" s="53"/>
    </row>
    <row r="1061" spans="1:11" s="3" customFormat="1" ht="12" customHeight="1" x14ac:dyDescent="0.2">
      <c r="A1061" s="205"/>
      <c r="B1061" s="12" t="s">
        <v>365</v>
      </c>
      <c r="C1061" s="11" t="s">
        <v>38</v>
      </c>
      <c r="D1061" s="11">
        <v>1.05</v>
      </c>
      <c r="E1061" s="44">
        <f>VLOOKUP(B1061,'Costo de Materiales'!B$4:D$350,3,FALSE)</f>
        <v>6.8900114929219486E-3</v>
      </c>
      <c r="F1061" s="206">
        <f>D1061*E1061</f>
        <v>7.234512067568046E-3</v>
      </c>
      <c r="G1061" s="302"/>
      <c r="H1061" s="83"/>
      <c r="I1061" s="53"/>
      <c r="J1061" s="53"/>
      <c r="K1061" s="58"/>
    </row>
    <row r="1062" spans="1:11" s="3" customFormat="1" ht="12" customHeight="1" x14ac:dyDescent="0.2">
      <c r="A1062" s="205"/>
      <c r="B1062" s="12" t="s">
        <v>111</v>
      </c>
      <c r="C1062" s="11" t="s">
        <v>11</v>
      </c>
      <c r="D1062" s="11">
        <v>0.03</v>
      </c>
      <c r="E1062" s="44">
        <f>F1061</f>
        <v>7.234512067568046E-3</v>
      </c>
      <c r="F1062" s="206">
        <f>D1062*E1062</f>
        <v>2.1703536202704137E-4</v>
      </c>
      <c r="G1062" s="302"/>
      <c r="H1062" s="83"/>
      <c r="I1062" s="53"/>
      <c r="J1062" s="53"/>
      <c r="K1062" s="58"/>
    </row>
    <row r="1063" spans="1:11" s="3" customFormat="1" ht="12" customHeight="1" x14ac:dyDescent="0.2">
      <c r="A1063" s="205"/>
      <c r="B1063" s="12" t="s">
        <v>10</v>
      </c>
      <c r="C1063" s="11" t="s">
        <v>33</v>
      </c>
      <c r="D1063" s="11">
        <v>2.5000000000000001E-2</v>
      </c>
      <c r="E1063" s="44">
        <f>VLOOKUP(B1063,'Costo de Materiales'!B$4:D$350,3,FALSE)</f>
        <v>0.35088021491732146</v>
      </c>
      <c r="F1063" s="206">
        <f>D1063*E1063</f>
        <v>8.7720053729330363E-3</v>
      </c>
      <c r="G1063" s="302"/>
      <c r="H1063" s="83"/>
      <c r="I1063" s="53"/>
      <c r="J1063" s="53"/>
      <c r="K1063" s="58"/>
    </row>
    <row r="1064" spans="1:11" s="3" customFormat="1" ht="12" customHeight="1" x14ac:dyDescent="0.2">
      <c r="A1064" s="207"/>
      <c r="B1064" s="26" t="s">
        <v>109</v>
      </c>
      <c r="C1064" s="23" t="s">
        <v>11</v>
      </c>
      <c r="D1064" s="80">
        <f>VLOOKUP(B1064,'Costo de Materiales'!B$4:D$350,3,FALSE)</f>
        <v>0.28999999999999998</v>
      </c>
      <c r="E1064" s="45">
        <f>F1063</f>
        <v>8.7720053729330363E-3</v>
      </c>
      <c r="F1064" s="208">
        <f>D1064*E1064</f>
        <v>2.5438815581505804E-3</v>
      </c>
      <c r="G1064" s="302"/>
      <c r="H1064" s="83"/>
      <c r="I1064" s="53"/>
      <c r="J1064" s="53"/>
      <c r="K1064" s="58"/>
    </row>
    <row r="1065" spans="1:11" ht="12" customHeight="1" x14ac:dyDescent="0.2">
      <c r="A1065" s="209">
        <v>29</v>
      </c>
      <c r="B1065" s="88" t="s">
        <v>364</v>
      </c>
      <c r="C1065" s="91" t="s">
        <v>38</v>
      </c>
      <c r="D1065" s="91"/>
      <c r="E1065" s="92"/>
      <c r="F1065" s="210">
        <f>SUM(F1066:F1069)</f>
        <v>2.3221740270257162E-2</v>
      </c>
      <c r="G1065" s="303"/>
      <c r="H1065" s="83"/>
      <c r="I1065" s="53"/>
      <c r="J1065" s="53"/>
    </row>
    <row r="1066" spans="1:11" s="3" customFormat="1" ht="12" customHeight="1" x14ac:dyDescent="0.2">
      <c r="A1066" s="205"/>
      <c r="B1066" s="12" t="s">
        <v>175</v>
      </c>
      <c r="C1066" s="11" t="s">
        <v>38</v>
      </c>
      <c r="D1066" s="11">
        <v>1.05</v>
      </c>
      <c r="E1066" s="44">
        <f>VLOOKUP(B1066,'Costo de Materiales'!B$4:D$350,3,FALSE)</f>
        <v>1.1008648487446645E-2</v>
      </c>
      <c r="F1066" s="206">
        <f>D1066*E1066</f>
        <v>1.1559080911818977E-2</v>
      </c>
      <c r="G1066" s="302"/>
      <c r="H1066" s="83"/>
      <c r="I1066" s="53"/>
      <c r="J1066" s="53"/>
      <c r="K1066" s="58"/>
    </row>
    <row r="1067" spans="1:11" s="3" customFormat="1" ht="12" customHeight="1" x14ac:dyDescent="0.2">
      <c r="A1067" s="205"/>
      <c r="B1067" s="12" t="s">
        <v>111</v>
      </c>
      <c r="C1067" s="11" t="s">
        <v>11</v>
      </c>
      <c r="D1067" s="11">
        <v>0.03</v>
      </c>
      <c r="E1067" s="44">
        <f>F1066</f>
        <v>1.1559080911818977E-2</v>
      </c>
      <c r="F1067" s="206">
        <f>D1067*E1067</f>
        <v>3.4677242735456929E-4</v>
      </c>
      <c r="G1067" s="302"/>
      <c r="H1067" s="83"/>
      <c r="I1067" s="53"/>
      <c r="J1067" s="53"/>
      <c r="K1067" s="58"/>
    </row>
    <row r="1068" spans="1:11" s="3" customFormat="1" ht="12" customHeight="1" x14ac:dyDescent="0.2">
      <c r="A1068" s="205"/>
      <c r="B1068" s="12" t="s">
        <v>10</v>
      </c>
      <c r="C1068" s="11" t="s">
        <v>33</v>
      </c>
      <c r="D1068" s="11">
        <v>2.5000000000000001E-2</v>
      </c>
      <c r="E1068" s="44">
        <f>VLOOKUP(B1068,'Costo de Materiales'!B$4:D$350,3,FALSE)</f>
        <v>0.35088021491732146</v>
      </c>
      <c r="F1068" s="206">
        <f>D1068*E1068</f>
        <v>8.7720053729330363E-3</v>
      </c>
      <c r="G1068" s="302"/>
      <c r="H1068" s="83"/>
      <c r="I1068" s="53"/>
      <c r="J1068" s="53"/>
      <c r="K1068" s="58"/>
    </row>
    <row r="1069" spans="1:11" s="3" customFormat="1" ht="12" customHeight="1" x14ac:dyDescent="0.2">
      <c r="A1069" s="207"/>
      <c r="B1069" s="26" t="s">
        <v>109</v>
      </c>
      <c r="C1069" s="23" t="s">
        <v>11</v>
      </c>
      <c r="D1069" s="80">
        <f>VLOOKUP(B1069,'Costo de Materiales'!B$4:D$350,3,FALSE)</f>
        <v>0.28999999999999998</v>
      </c>
      <c r="E1069" s="45">
        <f>F1068</f>
        <v>8.7720053729330363E-3</v>
      </c>
      <c r="F1069" s="208">
        <f>D1069*E1069</f>
        <v>2.5438815581505804E-3</v>
      </c>
      <c r="G1069" s="307"/>
      <c r="H1069" s="83"/>
      <c r="I1069" s="53"/>
      <c r="J1069" s="53"/>
      <c r="K1069" s="58"/>
    </row>
    <row r="1070" spans="1:11" ht="12" customHeight="1" x14ac:dyDescent="0.2">
      <c r="A1070" s="209">
        <v>30</v>
      </c>
      <c r="B1070" s="88" t="s">
        <v>431</v>
      </c>
      <c r="C1070" s="91" t="s">
        <v>38</v>
      </c>
      <c r="D1070" s="91"/>
      <c r="E1070" s="94"/>
      <c r="F1070" s="210">
        <f>SUM(F1071:F1074)</f>
        <v>6.5883597763530977E-2</v>
      </c>
      <c r="G1070" s="302"/>
      <c r="H1070" s="83"/>
      <c r="I1070" s="53"/>
      <c r="J1070" s="53"/>
    </row>
    <row r="1071" spans="1:11" s="3" customFormat="1" ht="12" customHeight="1" x14ac:dyDescent="0.2">
      <c r="A1071" s="205"/>
      <c r="B1071" s="12" t="s">
        <v>174</v>
      </c>
      <c r="C1071" s="11" t="s">
        <v>38</v>
      </c>
      <c r="D1071" s="11">
        <v>1</v>
      </c>
      <c r="E1071" s="44">
        <f>VLOOKUP(B1071,'Costo de Materiales'!B$4:D$350,3,FALSE)</f>
        <v>5.9569891032554348E-2</v>
      </c>
      <c r="F1071" s="206">
        <f>D1071*E1071</f>
        <v>5.9569891032554348E-2</v>
      </c>
      <c r="G1071" s="302"/>
      <c r="H1071" s="83"/>
      <c r="I1071" s="53"/>
      <c r="J1071" s="53"/>
      <c r="K1071" s="58"/>
    </row>
    <row r="1072" spans="1:11" s="3" customFormat="1" ht="12" customHeight="1" x14ac:dyDescent="0.2">
      <c r="A1072" s="205"/>
      <c r="B1072" s="12" t="s">
        <v>111</v>
      </c>
      <c r="C1072" s="11" t="s">
        <v>11</v>
      </c>
      <c r="D1072" s="11">
        <v>0.03</v>
      </c>
      <c r="E1072" s="44">
        <f>F1071</f>
        <v>5.9569891032554348E-2</v>
      </c>
      <c r="F1072" s="206">
        <f>D1072*E1072</f>
        <v>1.7870967309766303E-3</v>
      </c>
      <c r="G1072" s="302"/>
      <c r="H1072" s="83"/>
      <c r="I1072" s="53"/>
      <c r="J1072" s="53"/>
      <c r="K1072" s="58"/>
    </row>
    <row r="1073" spans="1:11" s="3" customFormat="1" ht="12" customHeight="1" x14ac:dyDescent="0.2">
      <c r="A1073" s="205"/>
      <c r="B1073" s="12" t="s">
        <v>1</v>
      </c>
      <c r="C1073" s="11" t="s">
        <v>33</v>
      </c>
      <c r="D1073" s="11">
        <v>0.01</v>
      </c>
      <c r="E1073" s="44">
        <f>VLOOKUP(B1073,'Costo de Materiales'!B$4:D$350,3,FALSE)</f>
        <v>0.35090000000000005</v>
      </c>
      <c r="F1073" s="206">
        <f>D1073*E1073</f>
        <v>3.5090000000000004E-3</v>
      </c>
      <c r="G1073" s="302"/>
      <c r="H1073" s="83"/>
      <c r="I1073" s="53"/>
      <c r="J1073" s="53"/>
      <c r="K1073" s="58"/>
    </row>
    <row r="1074" spans="1:11" s="3" customFormat="1" ht="12" customHeight="1" x14ac:dyDescent="0.2">
      <c r="A1074" s="207"/>
      <c r="B1074" s="26" t="s">
        <v>109</v>
      </c>
      <c r="C1074" s="23" t="s">
        <v>11</v>
      </c>
      <c r="D1074" s="80">
        <f>VLOOKUP(B1074,'Costo de Materiales'!B$4:D$350,3,FALSE)</f>
        <v>0.28999999999999998</v>
      </c>
      <c r="E1074" s="45">
        <f>F1073</f>
        <v>3.5090000000000004E-3</v>
      </c>
      <c r="F1074" s="208">
        <f>D1074*E1074</f>
        <v>1.01761E-3</v>
      </c>
      <c r="G1074" s="302"/>
      <c r="H1074" s="83"/>
      <c r="I1074" s="53"/>
      <c r="J1074" s="53"/>
      <c r="K1074" s="58"/>
    </row>
    <row r="1075" spans="1:11" ht="12" customHeight="1" x14ac:dyDescent="0.2">
      <c r="A1075" s="209">
        <v>31</v>
      </c>
      <c r="B1075" s="88" t="s">
        <v>432</v>
      </c>
      <c r="C1075" s="91" t="s">
        <v>38</v>
      </c>
      <c r="D1075" s="91"/>
      <c r="E1075" s="94"/>
      <c r="F1075" s="210">
        <f>SUM(F1076:F1079)</f>
        <v>0.13176719552706195</v>
      </c>
      <c r="G1075" s="303"/>
      <c r="H1075" s="83"/>
      <c r="I1075" s="53"/>
      <c r="J1075" s="53"/>
    </row>
    <row r="1076" spans="1:11" s="3" customFormat="1" ht="12" customHeight="1" x14ac:dyDescent="0.2">
      <c r="A1076" s="205"/>
      <c r="B1076" s="12" t="s">
        <v>174</v>
      </c>
      <c r="C1076" s="11" t="s">
        <v>38</v>
      </c>
      <c r="D1076" s="11">
        <v>2</v>
      </c>
      <c r="E1076" s="44">
        <f>VLOOKUP(B1076,'Costo de Materiales'!B$4:D$350,3,FALSE)</f>
        <v>5.9569891032554348E-2</v>
      </c>
      <c r="F1076" s="206">
        <f>D1076*E1076</f>
        <v>0.1191397820651087</v>
      </c>
      <c r="G1076" s="302"/>
      <c r="H1076" s="83"/>
      <c r="I1076" s="53"/>
      <c r="J1076" s="53"/>
      <c r="K1076" s="58"/>
    </row>
    <row r="1077" spans="1:11" s="3" customFormat="1" ht="12" customHeight="1" x14ac:dyDescent="0.2">
      <c r="A1077" s="205"/>
      <c r="B1077" s="12" t="s">
        <v>111</v>
      </c>
      <c r="C1077" s="11" t="s">
        <v>11</v>
      </c>
      <c r="D1077" s="11">
        <v>0.03</v>
      </c>
      <c r="E1077" s="44">
        <f>F1076</f>
        <v>0.1191397820651087</v>
      </c>
      <c r="F1077" s="206">
        <f>D1077*E1077</f>
        <v>3.5741934619532606E-3</v>
      </c>
      <c r="G1077" s="302"/>
      <c r="H1077" s="83"/>
      <c r="I1077" s="53"/>
      <c r="J1077" s="53"/>
      <c r="K1077" s="58"/>
    </row>
    <row r="1078" spans="1:11" s="3" customFormat="1" ht="12" customHeight="1" x14ac:dyDescent="0.2">
      <c r="A1078" s="205"/>
      <c r="B1078" s="12" t="s">
        <v>1</v>
      </c>
      <c r="C1078" s="11" t="s">
        <v>33</v>
      </c>
      <c r="D1078" s="11">
        <v>0.02</v>
      </c>
      <c r="E1078" s="44">
        <f>VLOOKUP(B1078,'Costo de Materiales'!B$4:D$350,3,FALSE)</f>
        <v>0.35090000000000005</v>
      </c>
      <c r="F1078" s="206">
        <f>D1078*E1078</f>
        <v>7.0180000000000008E-3</v>
      </c>
      <c r="G1078" s="302"/>
      <c r="H1078" s="83"/>
      <c r="I1078" s="53"/>
      <c r="J1078" s="53"/>
      <c r="K1078" s="58"/>
    </row>
    <row r="1079" spans="1:11" s="3" customFormat="1" ht="12" customHeight="1" x14ac:dyDescent="0.2">
      <c r="A1079" s="207"/>
      <c r="B1079" s="26" t="s">
        <v>109</v>
      </c>
      <c r="C1079" s="23" t="s">
        <v>11</v>
      </c>
      <c r="D1079" s="80">
        <f>VLOOKUP(B1079,'Costo de Materiales'!B$4:D$350,3,FALSE)</f>
        <v>0.28999999999999998</v>
      </c>
      <c r="E1079" s="45">
        <f>F1078</f>
        <v>7.0180000000000008E-3</v>
      </c>
      <c r="F1079" s="208">
        <f>D1079*E1079</f>
        <v>2.0352199999999999E-3</v>
      </c>
      <c r="G1079" s="307"/>
      <c r="H1079" s="83"/>
      <c r="I1079" s="53"/>
      <c r="J1079" s="53"/>
      <c r="K1079" s="58"/>
    </row>
    <row r="1080" spans="1:11" ht="12" customHeight="1" x14ac:dyDescent="0.2">
      <c r="A1080" s="209">
        <v>32</v>
      </c>
      <c r="B1080" s="88" t="s">
        <v>433</v>
      </c>
      <c r="C1080" s="91" t="s">
        <v>38</v>
      </c>
      <c r="D1080" s="91"/>
      <c r="E1080" s="94"/>
      <c r="F1080" s="210">
        <f>SUM(F1081:F1084)</f>
        <v>0.19765079329059296</v>
      </c>
      <c r="G1080" s="302"/>
      <c r="H1080" s="83"/>
      <c r="I1080" s="53"/>
      <c r="J1080" s="53"/>
    </row>
    <row r="1081" spans="1:11" s="3" customFormat="1" ht="12" customHeight="1" x14ac:dyDescent="0.2">
      <c r="A1081" s="205"/>
      <c r="B1081" s="12" t="s">
        <v>174</v>
      </c>
      <c r="C1081" s="11" t="s">
        <v>38</v>
      </c>
      <c r="D1081" s="11">
        <v>3</v>
      </c>
      <c r="E1081" s="44">
        <f>VLOOKUP(B1081,'Costo de Materiales'!B$4:D$350,3,FALSE)</f>
        <v>5.9569891032554348E-2</v>
      </c>
      <c r="F1081" s="206">
        <f>D1081*E1081</f>
        <v>0.17870967309766306</v>
      </c>
      <c r="G1081" s="302"/>
      <c r="H1081" s="83"/>
      <c r="I1081" s="53"/>
      <c r="J1081" s="53"/>
      <c r="K1081" s="58"/>
    </row>
    <row r="1082" spans="1:11" s="3" customFormat="1" ht="12" customHeight="1" x14ac:dyDescent="0.2">
      <c r="A1082" s="205"/>
      <c r="B1082" s="12" t="s">
        <v>111</v>
      </c>
      <c r="C1082" s="11" t="s">
        <v>11</v>
      </c>
      <c r="D1082" s="11">
        <v>0.03</v>
      </c>
      <c r="E1082" s="44">
        <f>F1081</f>
        <v>0.17870967309766306</v>
      </c>
      <c r="F1082" s="206">
        <f>D1082*E1082</f>
        <v>5.3612901929298911E-3</v>
      </c>
      <c r="G1082" s="302"/>
      <c r="H1082" s="83"/>
      <c r="I1082" s="53"/>
      <c r="J1082" s="53"/>
      <c r="K1082" s="58"/>
    </row>
    <row r="1083" spans="1:11" s="3" customFormat="1" ht="12" customHeight="1" x14ac:dyDescent="0.2">
      <c r="A1083" s="205"/>
      <c r="B1083" s="12" t="s">
        <v>1</v>
      </c>
      <c r="C1083" s="11" t="s">
        <v>33</v>
      </c>
      <c r="D1083" s="11">
        <v>0.03</v>
      </c>
      <c r="E1083" s="44">
        <f>VLOOKUP(B1083,'Costo de Materiales'!B$4:D$350,3,FALSE)</f>
        <v>0.35090000000000005</v>
      </c>
      <c r="F1083" s="206">
        <f>D1083*E1083</f>
        <v>1.0527000000000002E-2</v>
      </c>
      <c r="G1083" s="302"/>
      <c r="H1083" s="83"/>
      <c r="I1083" s="53"/>
      <c r="J1083" s="53"/>
      <c r="K1083" s="58"/>
    </row>
    <row r="1084" spans="1:11" s="3" customFormat="1" ht="12" customHeight="1" x14ac:dyDescent="0.2">
      <c r="A1084" s="207"/>
      <c r="B1084" s="26" t="s">
        <v>109</v>
      </c>
      <c r="C1084" s="23" t="s">
        <v>11</v>
      </c>
      <c r="D1084" s="80">
        <f>VLOOKUP(B1084,'Costo de Materiales'!B$4:D$350,3,FALSE)</f>
        <v>0.28999999999999998</v>
      </c>
      <c r="E1084" s="45">
        <f>F1083</f>
        <v>1.0527000000000002E-2</v>
      </c>
      <c r="F1084" s="208">
        <f>D1084*E1084</f>
        <v>3.0528300000000003E-3</v>
      </c>
      <c r="G1084" s="302"/>
      <c r="H1084" s="83"/>
      <c r="I1084" s="53"/>
      <c r="J1084" s="53"/>
      <c r="K1084" s="58"/>
    </row>
    <row r="1085" spans="1:11" ht="12" customHeight="1" x14ac:dyDescent="0.2">
      <c r="A1085" s="209">
        <v>33</v>
      </c>
      <c r="B1085" s="88" t="s">
        <v>187</v>
      </c>
      <c r="C1085" s="91" t="s">
        <v>38</v>
      </c>
      <c r="D1085" s="91"/>
      <c r="E1085" s="94"/>
      <c r="F1085" s="210">
        <f>SUM(F1086:F1091)</f>
        <v>0.10196286379499919</v>
      </c>
      <c r="G1085" s="302"/>
      <c r="H1085" s="83"/>
      <c r="I1085" s="53"/>
      <c r="J1085" s="53"/>
    </row>
    <row r="1086" spans="1:11" s="3" customFormat="1" ht="12" customHeight="1" x14ac:dyDescent="0.2">
      <c r="A1086" s="205"/>
      <c r="B1086" s="12" t="s">
        <v>285</v>
      </c>
      <c r="C1086" s="11" t="s">
        <v>17</v>
      </c>
      <c r="D1086" s="11">
        <v>1.2</v>
      </c>
      <c r="E1086" s="44">
        <f>VLOOKUP(B1086,'Costo de Materiales'!B$4:D$350,3,FALSE)</f>
        <v>3.1770608550695655E-2</v>
      </c>
      <c r="F1086" s="206">
        <f t="shared" ref="F1086:F1091" si="97">D1086*E1086</f>
        <v>3.8124730260834787E-2</v>
      </c>
      <c r="G1086" s="302"/>
      <c r="H1086" s="83"/>
      <c r="I1086" s="53"/>
      <c r="J1086" s="53"/>
      <c r="K1086" s="58"/>
    </row>
    <row r="1087" spans="1:11" s="3" customFormat="1" ht="12" customHeight="1" x14ac:dyDescent="0.2">
      <c r="A1087" s="205"/>
      <c r="B1087" s="12" t="s">
        <v>74</v>
      </c>
      <c r="C1087" s="11" t="s">
        <v>18</v>
      </c>
      <c r="D1087" s="11">
        <v>2.5000000000000001E-2</v>
      </c>
      <c r="E1087" s="44">
        <f>VLOOKUP(B1087,'Costo de Materiales'!B$4:D$350,3,FALSE)</f>
        <v>4.4115212475514143E-2</v>
      </c>
      <c r="F1087" s="206">
        <f t="shared" si="97"/>
        <v>1.1028803118878535E-3</v>
      </c>
      <c r="G1087" s="302"/>
      <c r="H1087" s="83"/>
      <c r="I1087" s="53"/>
      <c r="J1087" s="53"/>
      <c r="K1087" s="58"/>
    </row>
    <row r="1088" spans="1:11" s="3" customFormat="1" ht="12" customHeight="1" x14ac:dyDescent="0.2">
      <c r="A1088" s="205"/>
      <c r="B1088" s="12" t="s">
        <v>111</v>
      </c>
      <c r="C1088" s="11" t="s">
        <v>11</v>
      </c>
      <c r="D1088" s="11">
        <v>0.03</v>
      </c>
      <c r="E1088" s="44">
        <f>SUM(F1086:F1087)</f>
        <v>3.9227610572722643E-2</v>
      </c>
      <c r="F1088" s="206">
        <f t="shared" si="97"/>
        <v>1.1768283171816793E-3</v>
      </c>
      <c r="G1088" s="302"/>
      <c r="H1088" s="83"/>
      <c r="I1088" s="53"/>
      <c r="J1088" s="53"/>
      <c r="K1088" s="58"/>
    </row>
    <row r="1089" spans="1:11" s="3" customFormat="1" ht="12" customHeight="1" x14ac:dyDescent="0.2">
      <c r="A1089" s="205"/>
      <c r="B1089" s="12" t="s">
        <v>83</v>
      </c>
      <c r="C1089" s="11" t="s">
        <v>33</v>
      </c>
      <c r="D1089" s="11">
        <v>0.04</v>
      </c>
      <c r="E1089" s="44">
        <f>VLOOKUP(B1089,'Costo de Materiales'!B$4:D$350,3,FALSE)</f>
        <v>0.84211251580157165</v>
      </c>
      <c r="F1089" s="206">
        <f t="shared" si="97"/>
        <v>3.3684500632062866E-2</v>
      </c>
      <c r="G1089" s="302"/>
      <c r="H1089" s="83"/>
      <c r="I1089" s="53"/>
      <c r="J1089" s="53"/>
      <c r="K1089" s="58"/>
    </row>
    <row r="1090" spans="1:11" s="3" customFormat="1" ht="12" customHeight="1" x14ac:dyDescent="0.2">
      <c r="A1090" s="205"/>
      <c r="B1090" s="12" t="s">
        <v>10</v>
      </c>
      <c r="C1090" s="11" t="s">
        <v>33</v>
      </c>
      <c r="D1090" s="11">
        <v>0.04</v>
      </c>
      <c r="E1090" s="44">
        <f>VLOOKUP(B1090,'Costo de Materiales'!B$4:D$350,3,FALSE)</f>
        <v>0.35088021491732146</v>
      </c>
      <c r="F1090" s="206">
        <f t="shared" si="97"/>
        <v>1.4035208596692859E-2</v>
      </c>
      <c r="G1090" s="302"/>
      <c r="H1090" s="83"/>
      <c r="I1090" s="53"/>
      <c r="J1090" s="53"/>
      <c r="K1090" s="58"/>
    </row>
    <row r="1091" spans="1:11" s="3" customFormat="1" ht="12" customHeight="1" x14ac:dyDescent="0.2">
      <c r="A1091" s="207"/>
      <c r="B1091" s="26" t="s">
        <v>109</v>
      </c>
      <c r="C1091" s="23" t="s">
        <v>11</v>
      </c>
      <c r="D1091" s="80">
        <f>VLOOKUP(B1091,'Costo de Materiales'!B$4:D$350,3,FALSE)</f>
        <v>0.28999999999999998</v>
      </c>
      <c r="E1091" s="45">
        <f>SUM(F1089:F1090)</f>
        <v>4.7719709228755722E-2</v>
      </c>
      <c r="F1091" s="206">
        <f t="shared" si="97"/>
        <v>1.3838715676339158E-2</v>
      </c>
      <c r="G1091" s="302"/>
      <c r="H1091" s="83"/>
      <c r="I1091" s="53"/>
      <c r="J1091" s="53"/>
      <c r="K1091" s="58"/>
    </row>
    <row r="1092" spans="1:11" s="1" customFormat="1" ht="12" customHeight="1" x14ac:dyDescent="0.2">
      <c r="A1092" s="209">
        <v>34</v>
      </c>
      <c r="B1092" s="93" t="s">
        <v>201</v>
      </c>
      <c r="C1092" s="95" t="s">
        <v>17</v>
      </c>
      <c r="D1092" s="95"/>
      <c r="E1092" s="94"/>
      <c r="F1092" s="210">
        <f>SUM(F1093:F1096)</f>
        <v>0.6415179043951128</v>
      </c>
      <c r="G1092" s="303"/>
      <c r="H1092" s="83"/>
      <c r="I1092" s="53"/>
      <c r="J1092" s="53"/>
      <c r="K1092" s="62"/>
    </row>
    <row r="1093" spans="1:11" s="3" customFormat="1" ht="12" customHeight="1" x14ac:dyDescent="0.2">
      <c r="A1093" s="205"/>
      <c r="B1093" s="12" t="s">
        <v>57</v>
      </c>
      <c r="C1093" s="20" t="s">
        <v>17</v>
      </c>
      <c r="D1093" s="20">
        <v>1</v>
      </c>
      <c r="E1093" s="44">
        <f>VLOOKUP(B1093,'Costo de Materiales'!B$4:D$350,3,FALSE)</f>
        <v>0.479487800786565</v>
      </c>
      <c r="F1093" s="206">
        <f>D1093*E1093</f>
        <v>0.479487800786565</v>
      </c>
      <c r="G1093" s="302"/>
      <c r="H1093" s="83"/>
      <c r="I1093" s="53"/>
      <c r="J1093" s="53"/>
      <c r="K1093" s="58"/>
    </row>
    <row r="1094" spans="1:11" s="3" customFormat="1" ht="12" customHeight="1" x14ac:dyDescent="0.2">
      <c r="A1094" s="205"/>
      <c r="B1094" s="15" t="s">
        <v>336</v>
      </c>
      <c r="C1094" s="20" t="s">
        <v>17</v>
      </c>
      <c r="D1094" s="20">
        <v>12</v>
      </c>
      <c r="E1094" s="44">
        <f>VLOOKUP(B1094,'Costo de Materiales'!B$4:D$350,3,FALSE)</f>
        <v>4.4497990891787589E-3</v>
      </c>
      <c r="F1094" s="206">
        <f>D1094*E1094</f>
        <v>5.3397589070145107E-2</v>
      </c>
      <c r="G1094" s="302"/>
      <c r="H1094" s="83"/>
      <c r="I1094" s="53"/>
      <c r="J1094" s="53"/>
      <c r="K1094" s="58"/>
    </row>
    <row r="1095" spans="1:11" s="3" customFormat="1" ht="12" customHeight="1" x14ac:dyDescent="0.2">
      <c r="A1095" s="205"/>
      <c r="B1095" s="12" t="s">
        <v>83</v>
      </c>
      <c r="C1095" s="20" t="s">
        <v>33</v>
      </c>
      <c r="D1095" s="20">
        <v>0.1</v>
      </c>
      <c r="E1095" s="44">
        <f>VLOOKUP(B1095,'Costo de Materiales'!B$4:D$350,3,FALSE)</f>
        <v>0.84211251580157165</v>
      </c>
      <c r="F1095" s="206">
        <f>D1095*E1095</f>
        <v>8.4211251580157173E-2</v>
      </c>
      <c r="G1095" s="302"/>
      <c r="H1095" s="83"/>
      <c r="I1095" s="53"/>
      <c r="J1095" s="53"/>
      <c r="K1095" s="58"/>
    </row>
    <row r="1096" spans="1:11" s="3" customFormat="1" ht="12" customHeight="1" x14ac:dyDescent="0.2">
      <c r="A1096" s="207"/>
      <c r="B1096" s="27" t="s">
        <v>109</v>
      </c>
      <c r="C1096" s="28" t="s">
        <v>11</v>
      </c>
      <c r="D1096" s="80">
        <f>VLOOKUP(B1096,'Costo de Materiales'!B$4:D$350,3,FALSE)</f>
        <v>0.28999999999999998</v>
      </c>
      <c r="E1096" s="45">
        <f>F1095</f>
        <v>8.4211251580157173E-2</v>
      </c>
      <c r="F1096" s="208">
        <f>D1096*E1096</f>
        <v>2.4421262958245579E-2</v>
      </c>
      <c r="G1096" s="307"/>
      <c r="H1096" s="83"/>
      <c r="I1096" s="53"/>
      <c r="J1096" s="53"/>
      <c r="K1096" s="58"/>
    </row>
    <row r="1097" spans="1:11" s="1" customFormat="1" ht="12" customHeight="1" x14ac:dyDescent="0.2">
      <c r="A1097" s="209">
        <v>35</v>
      </c>
      <c r="B1097" s="93" t="s">
        <v>202</v>
      </c>
      <c r="C1097" s="95" t="s">
        <v>17</v>
      </c>
      <c r="D1097" s="95"/>
      <c r="E1097" s="94"/>
      <c r="F1097" s="210">
        <f>SUM(F1098:F1101)</f>
        <v>0.87377786028779214</v>
      </c>
      <c r="G1097" s="302"/>
      <c r="H1097" s="83"/>
      <c r="I1097" s="53"/>
      <c r="J1097" s="53"/>
      <c r="K1097" s="62"/>
    </row>
    <row r="1098" spans="1:11" s="3" customFormat="1" ht="12" customHeight="1" x14ac:dyDescent="0.2">
      <c r="A1098" s="205"/>
      <c r="B1098" s="12" t="s">
        <v>56</v>
      </c>
      <c r="C1098" s="20" t="s">
        <v>17</v>
      </c>
      <c r="D1098" s="20">
        <v>1</v>
      </c>
      <c r="E1098" s="44">
        <f>VLOOKUP(B1098,'Costo de Materiales'!B$4:D$350,3,FALSE)</f>
        <v>0.60311524214084145</v>
      </c>
      <c r="F1098" s="206">
        <f>D1098*E1098</f>
        <v>0.60311524214084145</v>
      </c>
      <c r="G1098" s="302"/>
      <c r="H1098" s="83"/>
      <c r="I1098" s="53"/>
      <c r="J1098" s="53"/>
      <c r="K1098" s="58"/>
    </row>
    <row r="1099" spans="1:11" s="3" customFormat="1" ht="12" customHeight="1" x14ac:dyDescent="0.2">
      <c r="A1099" s="205"/>
      <c r="B1099" s="15" t="s">
        <v>336</v>
      </c>
      <c r="C1099" s="20" t="s">
        <v>17</v>
      </c>
      <c r="D1099" s="20">
        <v>12</v>
      </c>
      <c r="E1099" s="44">
        <f>VLOOKUP(B1099,'Costo de Materiales'!B$4:D$350,3,FALSE)</f>
        <v>4.4497990891787589E-3</v>
      </c>
      <c r="F1099" s="206">
        <f>D1099*E1099</f>
        <v>5.3397589070145107E-2</v>
      </c>
      <c r="G1099" s="302"/>
      <c r="H1099" s="83"/>
      <c r="I1099" s="53"/>
      <c r="J1099" s="53"/>
      <c r="K1099" s="58"/>
    </row>
    <row r="1100" spans="1:11" s="3" customFormat="1" ht="12" customHeight="1" x14ac:dyDescent="0.2">
      <c r="A1100" s="205"/>
      <c r="B1100" s="12" t="s">
        <v>83</v>
      </c>
      <c r="C1100" s="20" t="s">
        <v>33</v>
      </c>
      <c r="D1100" s="20">
        <v>0.2</v>
      </c>
      <c r="E1100" s="44">
        <f>VLOOKUP(B1100,'Costo de Materiales'!B$4:D$350,3,FALSE)</f>
        <v>0.84211251580157165</v>
      </c>
      <c r="F1100" s="206">
        <f>D1100*E1100</f>
        <v>0.16842250316031435</v>
      </c>
      <c r="G1100" s="302"/>
      <c r="H1100" s="83"/>
      <c r="I1100" s="53"/>
      <c r="J1100" s="53"/>
      <c r="K1100" s="58"/>
    </row>
    <row r="1101" spans="1:11" s="3" customFormat="1" ht="12" customHeight="1" x14ac:dyDescent="0.2">
      <c r="A1101" s="207"/>
      <c r="B1101" s="27" t="s">
        <v>109</v>
      </c>
      <c r="C1101" s="28" t="s">
        <v>11</v>
      </c>
      <c r="D1101" s="80">
        <f>VLOOKUP(B1101,'Costo de Materiales'!B$4:D$350,3,FALSE)</f>
        <v>0.28999999999999998</v>
      </c>
      <c r="E1101" s="45">
        <f>F1100</f>
        <v>0.16842250316031435</v>
      </c>
      <c r="F1101" s="208">
        <f>D1101*E1101</f>
        <v>4.8842525916491158E-2</v>
      </c>
      <c r="G1101" s="302"/>
      <c r="H1101" s="83"/>
      <c r="I1101" s="53"/>
      <c r="J1101" s="53"/>
      <c r="K1101" s="58"/>
    </row>
    <row r="1102" spans="1:11" s="41" customFormat="1" ht="12" customHeight="1" x14ac:dyDescent="0.2">
      <c r="A1102" s="220">
        <v>36</v>
      </c>
      <c r="B1102" s="93" t="s">
        <v>417</v>
      </c>
      <c r="C1102" s="91" t="s">
        <v>38</v>
      </c>
      <c r="D1102" s="95"/>
      <c r="E1102" s="92"/>
      <c r="F1102" s="210">
        <f>SUM(F1103:F1106)</f>
        <v>0.20179125738562523</v>
      </c>
      <c r="G1102" s="302"/>
      <c r="H1102" s="83"/>
      <c r="I1102" s="53"/>
      <c r="J1102" s="53"/>
      <c r="K1102" s="66"/>
    </row>
    <row r="1103" spans="1:11" s="41" customFormat="1" ht="12" customHeight="1" x14ac:dyDescent="0.2">
      <c r="A1103" s="231"/>
      <c r="B1103" s="15" t="s">
        <v>418</v>
      </c>
      <c r="C1103" s="11" t="s">
        <v>38</v>
      </c>
      <c r="D1103" s="20">
        <v>1</v>
      </c>
      <c r="E1103" s="48">
        <f>F325</f>
        <v>0.17504666396685931</v>
      </c>
      <c r="F1103" s="206">
        <f>D1103*E1103</f>
        <v>0.17504666396685931</v>
      </c>
      <c r="G1103" s="302"/>
      <c r="H1103" s="83"/>
      <c r="I1103" s="53"/>
      <c r="J1103" s="53"/>
      <c r="K1103" s="66"/>
    </row>
    <row r="1104" spans="1:11" s="41" customFormat="1" ht="12" customHeight="1" x14ac:dyDescent="0.2">
      <c r="A1104" s="231"/>
      <c r="B1104" s="16" t="s">
        <v>211</v>
      </c>
      <c r="C1104" s="11" t="s">
        <v>11</v>
      </c>
      <c r="D1104" s="20">
        <v>0.05</v>
      </c>
      <c r="E1104" s="48">
        <f>SUM(F1103:F1103)</f>
        <v>0.17504666396685931</v>
      </c>
      <c r="F1104" s="206">
        <f>D1104*E1104</f>
        <v>8.7523331983429663E-3</v>
      </c>
      <c r="G1104" s="302"/>
      <c r="H1104" s="83"/>
      <c r="I1104" s="53"/>
      <c r="J1104" s="53"/>
      <c r="K1104" s="66"/>
    </row>
    <row r="1105" spans="1:11" s="41" customFormat="1" ht="12" customHeight="1" x14ac:dyDescent="0.2">
      <c r="A1105" s="231"/>
      <c r="B1105" s="15" t="s">
        <v>96</v>
      </c>
      <c r="C1105" s="11" t="s">
        <v>33</v>
      </c>
      <c r="D1105" s="20">
        <v>1.4999999999999999E-2</v>
      </c>
      <c r="E1105" s="48">
        <f>VLOOKUP(B1105,'Costo de Materiales'!B$4:D$350,3,FALSE)</f>
        <v>0.92983256953090243</v>
      </c>
      <c r="F1105" s="206">
        <f>D1105*E1105</f>
        <v>1.3947488542963536E-2</v>
      </c>
      <c r="G1105" s="302"/>
      <c r="H1105" s="83"/>
      <c r="I1105" s="53"/>
      <c r="J1105" s="53"/>
      <c r="K1105" s="66"/>
    </row>
    <row r="1106" spans="1:11" s="41" customFormat="1" ht="12" customHeight="1" x14ac:dyDescent="0.2">
      <c r="A1106" s="232"/>
      <c r="B1106" s="22" t="s">
        <v>93</v>
      </c>
      <c r="C1106" s="23" t="s">
        <v>11</v>
      </c>
      <c r="D1106" s="80">
        <f>VLOOKUP(B1106,'Costo de Materiales'!B$4:D$350,3,FALSE)</f>
        <v>0.28999999999999998</v>
      </c>
      <c r="E1106" s="51">
        <f>F1105</f>
        <v>1.3947488542963536E-2</v>
      </c>
      <c r="F1106" s="206">
        <f>D1106*E1106</f>
        <v>4.0447716774594253E-3</v>
      </c>
      <c r="G1106" s="302"/>
      <c r="H1106" s="83"/>
      <c r="I1106" s="53"/>
      <c r="J1106" s="53"/>
      <c r="K1106" s="66"/>
    </row>
    <row r="1107" spans="1:11" s="1" customFormat="1" ht="12" customHeight="1" x14ac:dyDescent="0.2">
      <c r="A1107" s="209">
        <v>37</v>
      </c>
      <c r="B1107" s="93" t="s">
        <v>674</v>
      </c>
      <c r="C1107" s="95" t="s">
        <v>568</v>
      </c>
      <c r="D1107" s="95"/>
      <c r="E1107" s="94"/>
      <c r="F1107" s="210">
        <f>SUM(F1108:F1112)</f>
        <v>2.9028418905043204E-2</v>
      </c>
      <c r="G1107" s="302"/>
      <c r="H1107" s="83"/>
      <c r="I1107" s="53"/>
      <c r="J1107" s="53"/>
      <c r="K1107" s="62"/>
    </row>
    <row r="1108" spans="1:11" s="3" customFormat="1" ht="12" customHeight="1" x14ac:dyDescent="0.2">
      <c r="A1108" s="205"/>
      <c r="B1108" s="12" t="s">
        <v>465</v>
      </c>
      <c r="C1108" s="20" t="s">
        <v>568</v>
      </c>
      <c r="D1108" s="20">
        <v>1</v>
      </c>
      <c r="E1108" s="44">
        <f>VLOOKUP(B1108,'Costo de Materiales'!B$4:D$350,3,FALSE)</f>
        <v>1.7493930569736964E-2</v>
      </c>
      <c r="F1108" s="206">
        <f>D1108*E1108</f>
        <v>1.7493930569736964E-2</v>
      </c>
      <c r="G1108" s="302"/>
      <c r="H1108" s="83"/>
      <c r="I1108" s="53"/>
      <c r="J1108" s="53"/>
      <c r="K1108" s="58"/>
    </row>
    <row r="1109" spans="1:11" s="3" customFormat="1" ht="12" customHeight="1" x14ac:dyDescent="0.2">
      <c r="A1109" s="205"/>
      <c r="B1109" s="15" t="s">
        <v>86</v>
      </c>
      <c r="C1109" s="20" t="s">
        <v>18</v>
      </c>
      <c r="D1109" s="20">
        <v>1E-3</v>
      </c>
      <c r="E1109" s="44">
        <f>VLOOKUP(B1109,'Costo de Materiales'!B$4:D$350,3,FALSE)</f>
        <v>0.14215433434354938</v>
      </c>
      <c r="F1109" s="206">
        <f>D1109*E1109</f>
        <v>1.4215433434354937E-4</v>
      </c>
      <c r="G1109" s="302"/>
      <c r="H1109" s="83"/>
      <c r="I1109" s="53"/>
      <c r="J1109" s="53"/>
      <c r="K1109" s="58"/>
    </row>
    <row r="1110" spans="1:11" s="3" customFormat="1" ht="12" customHeight="1" x14ac:dyDescent="0.2">
      <c r="A1110" s="205"/>
      <c r="B1110" s="15" t="s">
        <v>111</v>
      </c>
      <c r="C1110" s="20" t="s">
        <v>11</v>
      </c>
      <c r="D1110" s="20">
        <v>0.03</v>
      </c>
      <c r="E1110" s="44">
        <f>SUM(F1108:F1109)</f>
        <v>1.7636084904080512E-2</v>
      </c>
      <c r="F1110" s="206">
        <f>D1110*E1110</f>
        <v>5.2908254712241535E-4</v>
      </c>
      <c r="G1110" s="302"/>
      <c r="H1110" s="83"/>
      <c r="I1110" s="53"/>
      <c r="J1110" s="53"/>
      <c r="K1110" s="58"/>
    </row>
    <row r="1111" spans="1:11" s="3" customFormat="1" ht="12" customHeight="1" x14ac:dyDescent="0.2">
      <c r="A1111" s="205"/>
      <c r="B1111" s="15" t="s">
        <v>83</v>
      </c>
      <c r="C1111" s="20" t="s">
        <v>33</v>
      </c>
      <c r="D1111" s="20">
        <v>0.01</v>
      </c>
      <c r="E1111" s="44">
        <f>VLOOKUP(B1111,'Costo de Materiales'!B$4:D$350,3,FALSE)</f>
        <v>0.84211251580157165</v>
      </c>
      <c r="F1111" s="206">
        <f>D1111*E1111</f>
        <v>8.4211251580157166E-3</v>
      </c>
      <c r="G1111" s="302"/>
      <c r="H1111" s="83"/>
      <c r="I1111" s="53"/>
      <c r="J1111" s="53"/>
      <c r="K1111" s="58"/>
    </row>
    <row r="1112" spans="1:11" s="3" customFormat="1" ht="12" customHeight="1" x14ac:dyDescent="0.2">
      <c r="A1112" s="207"/>
      <c r="B1112" s="27" t="s">
        <v>109</v>
      </c>
      <c r="C1112" s="28" t="s">
        <v>11</v>
      </c>
      <c r="D1112" s="80">
        <f>VLOOKUP(B1112,'Costo de Materiales'!B$4:D$350,3,FALSE)</f>
        <v>0.28999999999999998</v>
      </c>
      <c r="E1112" s="45">
        <f>F1111</f>
        <v>8.4211251580157166E-3</v>
      </c>
      <c r="F1112" s="208">
        <f>D1112*E1112</f>
        <v>2.4421262958245578E-3</v>
      </c>
      <c r="G1112" s="302"/>
      <c r="H1112" s="83"/>
      <c r="I1112" s="53"/>
      <c r="J1112" s="53"/>
      <c r="K1112" s="58"/>
    </row>
    <row r="1113" spans="1:11" s="1" customFormat="1" ht="12" customHeight="1" x14ac:dyDescent="0.2">
      <c r="A1113" s="209">
        <v>38</v>
      </c>
      <c r="B1113" s="93" t="s">
        <v>675</v>
      </c>
      <c r="C1113" s="95" t="s">
        <v>568</v>
      </c>
      <c r="D1113" s="95"/>
      <c r="E1113" s="94"/>
      <c r="F1113" s="210">
        <f>SUM(F1114:F1118)</f>
        <v>2.9835669876582673E-2</v>
      </c>
      <c r="G1113" s="303"/>
      <c r="H1113" s="83"/>
      <c r="I1113" s="53"/>
      <c r="J1113" s="53"/>
      <c r="K1113" s="62"/>
    </row>
    <row r="1114" spans="1:11" s="3" customFormat="1" ht="12" customHeight="1" x14ac:dyDescent="0.2">
      <c r="A1114" s="205"/>
      <c r="B1114" s="15" t="s">
        <v>241</v>
      </c>
      <c r="C1114" s="20" t="s">
        <v>568</v>
      </c>
      <c r="D1114" s="20">
        <v>1</v>
      </c>
      <c r="E1114" s="44">
        <f>VLOOKUP(B1114,'Costo de Materiales'!B$4:D$350,3,FALSE)</f>
        <v>1.8277669377056837E-2</v>
      </c>
      <c r="F1114" s="206">
        <f>D1114*E1114</f>
        <v>1.8277669377056837E-2</v>
      </c>
      <c r="G1114" s="302"/>
      <c r="H1114" s="83"/>
      <c r="I1114" s="53"/>
      <c r="J1114" s="53"/>
      <c r="K1114" s="58"/>
    </row>
    <row r="1115" spans="1:11" s="3" customFormat="1" ht="12" customHeight="1" x14ac:dyDescent="0.2">
      <c r="A1115" s="205"/>
      <c r="B1115" s="15" t="s">
        <v>86</v>
      </c>
      <c r="C1115" s="20" t="s">
        <v>18</v>
      </c>
      <c r="D1115" s="20">
        <v>1E-3</v>
      </c>
      <c r="E1115" s="44">
        <f>VLOOKUP(B1115,'Costo de Materiales'!B$4:D$350,3,FALSE)</f>
        <v>0.14215433434354938</v>
      </c>
      <c r="F1115" s="206">
        <f>D1115*E1115</f>
        <v>1.4215433434354937E-4</v>
      </c>
      <c r="G1115" s="302"/>
      <c r="H1115" s="83"/>
      <c r="I1115" s="53"/>
      <c r="J1115" s="53"/>
      <c r="K1115" s="58"/>
    </row>
    <row r="1116" spans="1:11" s="3" customFormat="1" ht="12" customHeight="1" x14ac:dyDescent="0.2">
      <c r="A1116" s="205"/>
      <c r="B1116" s="15" t="s">
        <v>111</v>
      </c>
      <c r="C1116" s="20" t="s">
        <v>11</v>
      </c>
      <c r="D1116" s="20">
        <v>0.03</v>
      </c>
      <c r="E1116" s="44">
        <f>SUM(F1114:F1115)</f>
        <v>1.8419823711400385E-2</v>
      </c>
      <c r="F1116" s="206">
        <f>D1116*E1116</f>
        <v>5.5259471134201156E-4</v>
      </c>
      <c r="G1116" s="302"/>
      <c r="H1116" s="83"/>
      <c r="I1116" s="53"/>
      <c r="J1116" s="53"/>
      <c r="K1116" s="58"/>
    </row>
    <row r="1117" spans="1:11" s="3" customFormat="1" ht="12" customHeight="1" x14ac:dyDescent="0.2">
      <c r="A1117" s="205"/>
      <c r="B1117" s="15" t="s">
        <v>83</v>
      </c>
      <c r="C1117" s="20" t="s">
        <v>33</v>
      </c>
      <c r="D1117" s="20">
        <v>0.01</v>
      </c>
      <c r="E1117" s="44">
        <f>VLOOKUP(B1117,'Costo de Materiales'!B$4:D$350,3,FALSE)</f>
        <v>0.84211251580157165</v>
      </c>
      <c r="F1117" s="206">
        <f>D1117*E1117</f>
        <v>8.4211251580157166E-3</v>
      </c>
      <c r="G1117" s="302"/>
      <c r="H1117" s="83"/>
      <c r="I1117" s="53"/>
      <c r="J1117" s="53"/>
      <c r="K1117" s="58"/>
    </row>
    <row r="1118" spans="1:11" s="3" customFormat="1" ht="12" customHeight="1" x14ac:dyDescent="0.2">
      <c r="A1118" s="207"/>
      <c r="B1118" s="27" t="s">
        <v>109</v>
      </c>
      <c r="C1118" s="28" t="s">
        <v>11</v>
      </c>
      <c r="D1118" s="80">
        <f>VLOOKUP(B1118,'Costo de Materiales'!B$4:D$350,3,FALSE)</f>
        <v>0.28999999999999998</v>
      </c>
      <c r="E1118" s="45">
        <f>F1117</f>
        <v>8.4211251580157166E-3</v>
      </c>
      <c r="F1118" s="208">
        <f>D1118*E1118</f>
        <v>2.4421262958245578E-3</v>
      </c>
      <c r="G1118" s="307"/>
      <c r="H1118" s="83"/>
      <c r="I1118" s="53"/>
      <c r="J1118" s="53"/>
      <c r="K1118" s="58"/>
    </row>
    <row r="1119" spans="1:11" ht="12" customHeight="1" x14ac:dyDescent="0.2">
      <c r="A1119" s="203">
        <v>39</v>
      </c>
      <c r="B1119" s="138" t="s">
        <v>91</v>
      </c>
      <c r="C1119" s="139" t="s">
        <v>38</v>
      </c>
      <c r="D1119" s="139"/>
      <c r="E1119" s="144"/>
      <c r="F1119" s="204">
        <f>SUM(F1120:F1125)</f>
        <v>0.22337198460468038</v>
      </c>
      <c r="G1119" s="302"/>
      <c r="H1119" s="83"/>
      <c r="I1119" s="53"/>
      <c r="J1119" s="53"/>
    </row>
    <row r="1120" spans="1:11" s="3" customFormat="1" ht="12" customHeight="1" x14ac:dyDescent="0.2">
      <c r="A1120" s="205"/>
      <c r="B1120" s="12" t="s">
        <v>77</v>
      </c>
      <c r="C1120" s="11" t="s">
        <v>38</v>
      </c>
      <c r="D1120" s="11">
        <v>1.05</v>
      </c>
      <c r="E1120" s="44">
        <f>VLOOKUP(B1120,'Costo de Materiales'!B$4:D$350,3,FALSE)</f>
        <v>0.13932638720620305</v>
      </c>
      <c r="F1120" s="206">
        <f t="shared" ref="F1120:F1125" si="98">D1120*E1120</f>
        <v>0.14629270656651322</v>
      </c>
      <c r="G1120" s="302"/>
      <c r="H1120" s="83"/>
      <c r="I1120" s="53"/>
      <c r="J1120" s="53"/>
      <c r="K1120" s="58"/>
    </row>
    <row r="1121" spans="1:11" s="3" customFormat="1" ht="12" customHeight="1" x14ac:dyDescent="0.2">
      <c r="A1121" s="205"/>
      <c r="B1121" s="12" t="s">
        <v>254</v>
      </c>
      <c r="C1121" s="11" t="s">
        <v>595</v>
      </c>
      <c r="D1121" s="11">
        <v>0.23649999999999999</v>
      </c>
      <c r="E1121" s="44">
        <f>VLOOKUP(B1121,'Costo de Materiales'!B$4:D$350,3,FALSE)</f>
        <v>0.10923539054403339</v>
      </c>
      <c r="F1121" s="206">
        <f t="shared" si="98"/>
        <v>2.5834169863663894E-2</v>
      </c>
      <c r="G1121" s="302"/>
      <c r="H1121" s="83"/>
      <c r="I1121" s="53"/>
      <c r="J1121" s="53"/>
      <c r="K1121" s="58"/>
    </row>
    <row r="1122" spans="1:11" s="3" customFormat="1" ht="12" customHeight="1" x14ac:dyDescent="0.2">
      <c r="A1122" s="205"/>
      <c r="B1122" s="12" t="s">
        <v>112</v>
      </c>
      <c r="C1122" s="11" t="s">
        <v>17</v>
      </c>
      <c r="D1122" s="11">
        <v>0.05</v>
      </c>
      <c r="E1122" s="44">
        <f>VLOOKUP(B1122,'Costo de Materiales'!B$4:D$350,3,FALSE)</f>
        <v>0.12674750308854335</v>
      </c>
      <c r="F1122" s="206">
        <f t="shared" si="98"/>
        <v>6.3373751544271682E-3</v>
      </c>
      <c r="G1122" s="302"/>
      <c r="H1122" s="83"/>
      <c r="I1122" s="53"/>
      <c r="J1122" s="53"/>
      <c r="K1122" s="58"/>
    </row>
    <row r="1123" spans="1:11" s="3" customFormat="1" ht="12" customHeight="1" x14ac:dyDescent="0.2">
      <c r="A1123" s="205"/>
      <c r="B1123" s="12" t="s">
        <v>111</v>
      </c>
      <c r="C1123" s="11" t="s">
        <v>11</v>
      </c>
      <c r="D1123" s="11">
        <v>0.05</v>
      </c>
      <c r="E1123" s="44">
        <f>SUM(F1120:F1122)</f>
        <v>0.17846425158460427</v>
      </c>
      <c r="F1123" s="206">
        <f t="shared" si="98"/>
        <v>8.923212579230214E-3</v>
      </c>
      <c r="G1123" s="302"/>
      <c r="H1123" s="83"/>
      <c r="I1123" s="53"/>
      <c r="J1123" s="53"/>
      <c r="K1123" s="58"/>
    </row>
    <row r="1124" spans="1:11" s="3" customFormat="1" ht="12" customHeight="1" x14ac:dyDescent="0.2">
      <c r="A1124" s="205"/>
      <c r="B1124" s="12" t="s">
        <v>96</v>
      </c>
      <c r="C1124" s="11" t="s">
        <v>33</v>
      </c>
      <c r="D1124" s="11">
        <v>0.03</v>
      </c>
      <c r="E1124" s="44">
        <f>VLOOKUP(B1124,'Costo de Materiales'!B$4:D$350,3,FALSE)</f>
        <v>0.92983256953090243</v>
      </c>
      <c r="F1124" s="206">
        <f t="shared" si="98"/>
        <v>2.7894977085927072E-2</v>
      </c>
      <c r="G1124" s="302"/>
      <c r="H1124" s="83"/>
      <c r="I1124" s="53"/>
      <c r="J1124" s="53"/>
      <c r="K1124" s="58"/>
    </row>
    <row r="1125" spans="1:11" s="3" customFormat="1" ht="12" customHeight="1" x14ac:dyDescent="0.2">
      <c r="A1125" s="207"/>
      <c r="B1125" s="26" t="s">
        <v>109</v>
      </c>
      <c r="C1125" s="23" t="s">
        <v>11</v>
      </c>
      <c r="D1125" s="80">
        <f>VLOOKUP(B1125,'Costo de Materiales'!B$4:D$350,3,FALSE)</f>
        <v>0.28999999999999998</v>
      </c>
      <c r="E1125" s="45">
        <f>F1124</f>
        <v>2.7894977085927072E-2</v>
      </c>
      <c r="F1125" s="208">
        <f t="shared" si="98"/>
        <v>8.0895433549188506E-3</v>
      </c>
      <c r="G1125" s="307"/>
      <c r="H1125" s="83"/>
      <c r="I1125" s="53"/>
      <c r="J1125" s="53"/>
      <c r="K1125" s="58"/>
    </row>
    <row r="1126" spans="1:11" s="41" customFormat="1" ht="12" customHeight="1" x14ac:dyDescent="0.2">
      <c r="A1126" s="209">
        <v>40</v>
      </c>
      <c r="B1126" s="88" t="s">
        <v>430</v>
      </c>
      <c r="C1126" s="91" t="s">
        <v>38</v>
      </c>
      <c r="D1126" s="91"/>
      <c r="E1126" s="94"/>
      <c r="F1126" s="210">
        <f>SUM(F1127:F1132)</f>
        <v>0.55977938350507062</v>
      </c>
      <c r="G1126" s="302"/>
      <c r="H1126" s="83"/>
      <c r="I1126" s="53"/>
      <c r="J1126" s="53"/>
      <c r="K1126" s="66"/>
    </row>
    <row r="1127" spans="1:11" s="41" customFormat="1" ht="12" customHeight="1" x14ac:dyDescent="0.2">
      <c r="A1127" s="205"/>
      <c r="B1127" s="12" t="s">
        <v>421</v>
      </c>
      <c r="C1127" s="11" t="s">
        <v>17</v>
      </c>
      <c r="D1127" s="11">
        <v>4</v>
      </c>
      <c r="E1127" s="44">
        <f>VLOOKUP(B1127,'Costo de Materiales'!B$4:D$350,3,FALSE)</f>
        <v>6.3971842819698921E-2</v>
      </c>
      <c r="F1127" s="206">
        <f t="shared" ref="F1127:F1132" si="99">D1127*E1127</f>
        <v>0.25588737127879568</v>
      </c>
      <c r="G1127" s="302"/>
      <c r="H1127" s="83"/>
      <c r="I1127" s="53"/>
      <c r="J1127" s="53"/>
      <c r="K1127" s="66"/>
    </row>
    <row r="1128" spans="1:11" s="41" customFormat="1" ht="12" customHeight="1" x14ac:dyDescent="0.2">
      <c r="A1128" s="205"/>
      <c r="B1128" s="12" t="s">
        <v>419</v>
      </c>
      <c r="C1128" s="11" t="s">
        <v>38</v>
      </c>
      <c r="D1128" s="11">
        <v>1</v>
      </c>
      <c r="E1128" s="44">
        <f>F109</f>
        <v>4.5070900726085501E-2</v>
      </c>
      <c r="F1128" s="206">
        <f t="shared" si="99"/>
        <v>4.5070900726085501E-2</v>
      </c>
      <c r="G1128" s="302"/>
      <c r="H1128" s="83"/>
      <c r="I1128" s="53"/>
      <c r="J1128" s="53"/>
      <c r="K1128" s="66"/>
    </row>
    <row r="1129" spans="1:11" s="41" customFormat="1" ht="12" customHeight="1" x14ac:dyDescent="0.2">
      <c r="A1129" s="205"/>
      <c r="B1129" s="12" t="s">
        <v>420</v>
      </c>
      <c r="C1129" s="21" t="s">
        <v>6</v>
      </c>
      <c r="D1129" s="11">
        <v>1</v>
      </c>
      <c r="E1129" s="44">
        <f>F325</f>
        <v>0.17504666396685931</v>
      </c>
      <c r="F1129" s="206">
        <f t="shared" si="99"/>
        <v>0.17504666396685931</v>
      </c>
      <c r="G1129" s="302"/>
      <c r="H1129" s="83"/>
      <c r="I1129" s="53"/>
      <c r="J1129" s="53"/>
      <c r="K1129" s="66"/>
    </row>
    <row r="1130" spans="1:11" s="41" customFormat="1" ht="12" customHeight="1" x14ac:dyDescent="0.2">
      <c r="A1130" s="205"/>
      <c r="B1130" s="12" t="s">
        <v>111</v>
      </c>
      <c r="C1130" s="11" t="s">
        <v>11</v>
      </c>
      <c r="D1130" s="11">
        <v>0.05</v>
      </c>
      <c r="E1130" s="44">
        <f>SUM(F1127:F1129)</f>
        <v>0.47600493597174048</v>
      </c>
      <c r="F1130" s="206">
        <f t="shared" si="99"/>
        <v>2.3800246798587027E-2</v>
      </c>
      <c r="G1130" s="302"/>
      <c r="H1130" s="83"/>
      <c r="I1130" s="53"/>
      <c r="J1130" s="53"/>
      <c r="K1130" s="66"/>
    </row>
    <row r="1131" spans="1:11" s="41" customFormat="1" ht="12" customHeight="1" x14ac:dyDescent="0.2">
      <c r="A1131" s="205"/>
      <c r="B1131" s="12" t="s">
        <v>96</v>
      </c>
      <c r="C1131" s="11" t="s">
        <v>33</v>
      </c>
      <c r="D1131" s="11">
        <v>0.05</v>
      </c>
      <c r="E1131" s="44">
        <f>VLOOKUP(B1131,'Costo de Materiales'!B$4:D$350,3,FALSE)</f>
        <v>0.92983256953090243</v>
      </c>
      <c r="F1131" s="206">
        <f t="shared" si="99"/>
        <v>4.6491628476545123E-2</v>
      </c>
      <c r="G1131" s="302"/>
      <c r="H1131" s="83"/>
      <c r="I1131" s="53"/>
      <c r="J1131" s="53"/>
      <c r="K1131" s="66"/>
    </row>
    <row r="1132" spans="1:11" s="41" customFormat="1" ht="12" customHeight="1" x14ac:dyDescent="0.2">
      <c r="A1132" s="207"/>
      <c r="B1132" s="26" t="s">
        <v>109</v>
      </c>
      <c r="C1132" s="23" t="s">
        <v>11</v>
      </c>
      <c r="D1132" s="80">
        <f>VLOOKUP(B1132,'Costo de Materiales'!B$4:D$350,3,FALSE)</f>
        <v>0.28999999999999998</v>
      </c>
      <c r="E1132" s="45">
        <f>F1131</f>
        <v>4.6491628476545123E-2</v>
      </c>
      <c r="F1132" s="208">
        <f t="shared" si="99"/>
        <v>1.3482572258198084E-2</v>
      </c>
      <c r="G1132" s="307"/>
      <c r="H1132" s="83"/>
      <c r="I1132" s="53"/>
      <c r="J1132" s="53"/>
      <c r="K1132" s="66"/>
    </row>
    <row r="1133" spans="1:11" ht="12" customHeight="1" x14ac:dyDescent="0.2">
      <c r="A1133" s="209">
        <v>41</v>
      </c>
      <c r="B1133" s="88" t="s">
        <v>236</v>
      </c>
      <c r="C1133" s="91" t="s">
        <v>38</v>
      </c>
      <c r="D1133" s="91"/>
      <c r="E1133" s="94"/>
      <c r="F1133" s="210">
        <f>SUM(F1134:F1139)</f>
        <v>5.202744138466265E-2</v>
      </c>
      <c r="G1133" s="302"/>
      <c r="H1133" s="83"/>
      <c r="I1133" s="53"/>
      <c r="J1133" s="53"/>
    </row>
    <row r="1134" spans="1:11" s="3" customFormat="1" ht="12" customHeight="1" x14ac:dyDescent="0.2">
      <c r="A1134" s="205"/>
      <c r="B1134" s="12" t="s">
        <v>51</v>
      </c>
      <c r="C1134" s="11" t="s">
        <v>595</v>
      </c>
      <c r="D1134" s="11">
        <v>6.7000000000000004E-2</v>
      </c>
      <c r="E1134" s="44">
        <f>VLOOKUP(B1134,'Costo de Materiales'!B$4:D$350,3,FALSE)</f>
        <v>0.31320843911574359</v>
      </c>
      <c r="F1134" s="206">
        <f t="shared" ref="F1134:F1139" si="100">D1134*E1134</f>
        <v>2.0984965420754821E-2</v>
      </c>
      <c r="G1134" s="302"/>
      <c r="H1134" s="83"/>
      <c r="I1134" s="53"/>
      <c r="J1134" s="53"/>
      <c r="K1134" s="58"/>
    </row>
    <row r="1135" spans="1:11" s="3" customFormat="1" ht="12" customHeight="1" x14ac:dyDescent="0.2">
      <c r="A1135" s="205"/>
      <c r="B1135" s="12" t="s">
        <v>112</v>
      </c>
      <c r="C1135" s="11" t="s">
        <v>17</v>
      </c>
      <c r="D1135" s="11">
        <v>0.01</v>
      </c>
      <c r="E1135" s="44">
        <f>VLOOKUP(B1135,'Costo de Materiales'!B$4:D$350,3,FALSE)</f>
        <v>0.12674750308854335</v>
      </c>
      <c r="F1135" s="206">
        <f t="shared" si="100"/>
        <v>1.2674750308854334E-3</v>
      </c>
      <c r="G1135" s="302"/>
      <c r="H1135" s="83"/>
      <c r="I1135" s="53"/>
      <c r="J1135" s="53"/>
      <c r="K1135" s="58"/>
    </row>
    <row r="1136" spans="1:11" s="3" customFormat="1" ht="12" customHeight="1" x14ac:dyDescent="0.2">
      <c r="A1136" s="205"/>
      <c r="B1136" s="12" t="s">
        <v>87</v>
      </c>
      <c r="C1136" s="11" t="s">
        <v>88</v>
      </c>
      <c r="D1136" s="11">
        <v>0.15</v>
      </c>
      <c r="E1136" s="44">
        <f>VLOOKUP(B1136,'Costo de Materiales'!B$4:D$350,3,FALSE)</f>
        <v>3.8277841627344161E-3</v>
      </c>
      <c r="F1136" s="206">
        <f t="shared" si="100"/>
        <v>5.7416762441016235E-4</v>
      </c>
      <c r="G1136" s="302"/>
      <c r="H1136" s="83"/>
      <c r="I1136" s="53"/>
      <c r="J1136" s="53"/>
      <c r="K1136" s="58"/>
    </row>
    <row r="1137" spans="1:11" s="3" customFormat="1" ht="12" customHeight="1" x14ac:dyDescent="0.2">
      <c r="A1137" s="205"/>
      <c r="B1137" s="10" t="s">
        <v>111</v>
      </c>
      <c r="C1137" s="11" t="s">
        <v>11</v>
      </c>
      <c r="D1137" s="11">
        <v>0.03</v>
      </c>
      <c r="E1137" s="44">
        <f>SUM(F1134:F1136)</f>
        <v>2.2826608076050418E-2</v>
      </c>
      <c r="F1137" s="206">
        <f t="shared" si="100"/>
        <v>6.8479824228151248E-4</v>
      </c>
      <c r="G1137" s="302"/>
      <c r="H1137" s="83"/>
      <c r="I1137" s="53"/>
      <c r="J1137" s="53"/>
      <c r="K1137" s="58"/>
    </row>
    <row r="1138" spans="1:11" s="3" customFormat="1" ht="12" customHeight="1" x14ac:dyDescent="0.2">
      <c r="A1138" s="205"/>
      <c r="B1138" s="12" t="s">
        <v>89</v>
      </c>
      <c r="C1138" s="11" t="s">
        <v>33</v>
      </c>
      <c r="D1138" s="11">
        <v>0.03</v>
      </c>
      <c r="E1138" s="44">
        <f>VLOOKUP(B1138,'Costo de Materiales'!B$4:D$350,3,FALSE)</f>
        <v>0.73684845132637522</v>
      </c>
      <c r="F1138" s="206">
        <f t="shared" si="100"/>
        <v>2.2105453539791257E-2</v>
      </c>
      <c r="G1138" s="302"/>
      <c r="H1138" s="83"/>
      <c r="I1138" s="53"/>
      <c r="J1138" s="53"/>
      <c r="K1138" s="58"/>
    </row>
    <row r="1139" spans="1:11" s="3" customFormat="1" ht="12" customHeight="1" x14ac:dyDescent="0.2">
      <c r="A1139" s="207"/>
      <c r="B1139" s="26" t="s">
        <v>109</v>
      </c>
      <c r="C1139" s="23" t="s">
        <v>11</v>
      </c>
      <c r="D1139" s="80">
        <f>VLOOKUP(B1139,'Costo de Materiales'!B$4:D$350,3,FALSE)</f>
        <v>0.28999999999999998</v>
      </c>
      <c r="E1139" s="45">
        <f>F1138</f>
        <v>2.2105453539791257E-2</v>
      </c>
      <c r="F1139" s="208">
        <f t="shared" si="100"/>
        <v>6.4105815265394642E-3</v>
      </c>
      <c r="G1139" s="302"/>
      <c r="H1139" s="83"/>
      <c r="I1139" s="53"/>
      <c r="J1139" s="53"/>
      <c r="K1139" s="58"/>
    </row>
    <row r="1140" spans="1:11" ht="12" customHeight="1" x14ac:dyDescent="0.2">
      <c r="A1140" s="209">
        <v>42</v>
      </c>
      <c r="B1140" s="88" t="s">
        <v>237</v>
      </c>
      <c r="C1140" s="91" t="s">
        <v>38</v>
      </c>
      <c r="D1140" s="91"/>
      <c r="E1140" s="94"/>
      <c r="F1140" s="210">
        <f>SUM(F1141:F1146)</f>
        <v>5.3500107656429582E-2</v>
      </c>
      <c r="G1140" s="303"/>
      <c r="H1140" s="83"/>
      <c r="I1140" s="53"/>
      <c r="J1140" s="53"/>
    </row>
    <row r="1141" spans="1:11" s="3" customFormat="1" ht="12" customHeight="1" x14ac:dyDescent="0.2">
      <c r="A1141" s="205"/>
      <c r="B1141" s="12" t="s">
        <v>280</v>
      </c>
      <c r="C1141" s="11" t="s">
        <v>595</v>
      </c>
      <c r="D1141" s="11">
        <v>6.7000000000000004E-2</v>
      </c>
      <c r="E1141" s="44">
        <f>VLOOKUP(B1141,'Costo de Materiales'!B$4:D$350,3,FALSE)</f>
        <v>0.33454833582298793</v>
      </c>
      <c r="F1141" s="206">
        <f t="shared" ref="F1141:F1146" si="101">D1141*E1141</f>
        <v>2.2414738500140193E-2</v>
      </c>
      <c r="G1141" s="302"/>
      <c r="H1141" s="83"/>
      <c r="I1141" s="53"/>
      <c r="J1141" s="53"/>
      <c r="K1141" s="58"/>
    </row>
    <row r="1142" spans="1:11" s="3" customFormat="1" ht="12" customHeight="1" x14ac:dyDescent="0.2">
      <c r="A1142" s="205"/>
      <c r="B1142" s="12" t="s">
        <v>112</v>
      </c>
      <c r="C1142" s="11" t="s">
        <v>17</v>
      </c>
      <c r="D1142" s="11">
        <v>0.01</v>
      </c>
      <c r="E1142" s="44">
        <f>VLOOKUP(B1142,'Costo de Materiales'!B$4:D$350,3,FALSE)</f>
        <v>0.12674750308854335</v>
      </c>
      <c r="F1142" s="206">
        <f t="shared" si="101"/>
        <v>1.2674750308854334E-3</v>
      </c>
      <c r="G1142" s="302"/>
      <c r="H1142" s="83"/>
      <c r="I1142" s="53"/>
      <c r="J1142" s="53"/>
      <c r="K1142" s="58"/>
    </row>
    <row r="1143" spans="1:11" s="3" customFormat="1" ht="12" customHeight="1" x14ac:dyDescent="0.2">
      <c r="A1143" s="205"/>
      <c r="B1143" s="12" t="s">
        <v>87</v>
      </c>
      <c r="C1143" s="11" t="s">
        <v>88</v>
      </c>
      <c r="D1143" s="11">
        <v>0.15</v>
      </c>
      <c r="E1143" s="44">
        <f>VLOOKUP(B1143,'Costo de Materiales'!B$4:D$350,3,FALSE)</f>
        <v>3.8277841627344161E-3</v>
      </c>
      <c r="F1143" s="206">
        <f t="shared" si="101"/>
        <v>5.7416762441016235E-4</v>
      </c>
      <c r="G1143" s="302"/>
      <c r="H1143" s="83"/>
      <c r="I1143" s="53"/>
      <c r="J1143" s="53"/>
      <c r="K1143" s="58"/>
    </row>
    <row r="1144" spans="1:11" s="3" customFormat="1" ht="12" customHeight="1" x14ac:dyDescent="0.2">
      <c r="A1144" s="205"/>
      <c r="B1144" s="12" t="s">
        <v>111</v>
      </c>
      <c r="C1144" s="11" t="s">
        <v>11</v>
      </c>
      <c r="D1144" s="11">
        <v>0.03</v>
      </c>
      <c r="E1144" s="44">
        <f>SUM(F1141:F1143)</f>
        <v>2.425638115543579E-2</v>
      </c>
      <c r="F1144" s="206">
        <f t="shared" si="101"/>
        <v>7.2769143466307369E-4</v>
      </c>
      <c r="G1144" s="302"/>
      <c r="H1144" s="83"/>
      <c r="I1144" s="53"/>
      <c r="J1144" s="53"/>
      <c r="K1144" s="58"/>
    </row>
    <row r="1145" spans="1:11" s="3" customFormat="1" ht="12" customHeight="1" x14ac:dyDescent="0.2">
      <c r="A1145" s="205"/>
      <c r="B1145" s="12" t="s">
        <v>89</v>
      </c>
      <c r="C1145" s="11" t="s">
        <v>33</v>
      </c>
      <c r="D1145" s="11">
        <v>0.03</v>
      </c>
      <c r="E1145" s="44">
        <f>VLOOKUP(B1145,'Costo de Materiales'!B$4:D$350,3,FALSE)</f>
        <v>0.73684845132637522</v>
      </c>
      <c r="F1145" s="206">
        <f t="shared" si="101"/>
        <v>2.2105453539791257E-2</v>
      </c>
      <c r="G1145" s="302"/>
      <c r="H1145" s="83"/>
      <c r="I1145" s="53"/>
      <c r="J1145" s="53"/>
      <c r="K1145" s="58"/>
    </row>
    <row r="1146" spans="1:11" s="3" customFormat="1" ht="12" customHeight="1" x14ac:dyDescent="0.2">
      <c r="A1146" s="207"/>
      <c r="B1146" s="26" t="s">
        <v>109</v>
      </c>
      <c r="C1146" s="23" t="s">
        <v>11</v>
      </c>
      <c r="D1146" s="80">
        <f>VLOOKUP(B1146,'Costo de Materiales'!B$4:D$350,3,FALSE)</f>
        <v>0.28999999999999998</v>
      </c>
      <c r="E1146" s="45">
        <f>F1145</f>
        <v>2.2105453539791257E-2</v>
      </c>
      <c r="F1146" s="208">
        <f t="shared" si="101"/>
        <v>6.4105815265394642E-3</v>
      </c>
      <c r="G1146" s="307"/>
      <c r="H1146" s="83"/>
      <c r="I1146" s="53"/>
      <c r="J1146" s="53"/>
      <c r="K1146" s="58"/>
    </row>
    <row r="1147" spans="1:11" ht="12" customHeight="1" x14ac:dyDescent="0.2">
      <c r="A1147" s="209">
        <v>43</v>
      </c>
      <c r="B1147" s="88" t="s">
        <v>235</v>
      </c>
      <c r="C1147" s="91" t="s">
        <v>38</v>
      </c>
      <c r="D1147" s="91"/>
      <c r="E1147" s="94"/>
      <c r="F1147" s="210">
        <f>SUM(F1148:F1153)</f>
        <v>5.9245487281708656E-2</v>
      </c>
      <c r="G1147" s="302"/>
      <c r="H1147" s="83"/>
      <c r="I1147" s="53"/>
      <c r="J1147" s="53"/>
    </row>
    <row r="1148" spans="1:11" s="3" customFormat="1" ht="12" customHeight="1" x14ac:dyDescent="0.2">
      <c r="A1148" s="205"/>
      <c r="B1148" s="12" t="s">
        <v>50</v>
      </c>
      <c r="C1148" s="11" t="s">
        <v>595</v>
      </c>
      <c r="D1148" s="11">
        <v>6.7000000000000004E-2</v>
      </c>
      <c r="E1148" s="44">
        <f>VLOOKUP(B1148,'Costo de Materiales'!B$4:D$350,3,FALSE)</f>
        <v>0.41780264136246148</v>
      </c>
      <c r="F1148" s="206">
        <f t="shared" ref="F1148:F1153" si="102">D1148*E1148</f>
        <v>2.7992776971284921E-2</v>
      </c>
      <c r="G1148" s="302"/>
      <c r="H1148" s="83"/>
      <c r="I1148" s="53"/>
      <c r="J1148" s="53"/>
      <c r="K1148" s="58"/>
    </row>
    <row r="1149" spans="1:11" s="3" customFormat="1" ht="12" customHeight="1" x14ac:dyDescent="0.2">
      <c r="A1149" s="205"/>
      <c r="B1149" s="12" t="s">
        <v>112</v>
      </c>
      <c r="C1149" s="11" t="s">
        <v>17</v>
      </c>
      <c r="D1149" s="11">
        <v>0.01</v>
      </c>
      <c r="E1149" s="44">
        <f>VLOOKUP(B1149,'Costo de Materiales'!B$4:D$350,3,FALSE)</f>
        <v>0.12674750308854335</v>
      </c>
      <c r="F1149" s="206">
        <f t="shared" si="102"/>
        <v>1.2674750308854334E-3</v>
      </c>
      <c r="G1149" s="302"/>
      <c r="H1149" s="83"/>
      <c r="I1149" s="53"/>
      <c r="J1149" s="53"/>
      <c r="K1149" s="58"/>
    </row>
    <row r="1150" spans="1:11" s="3" customFormat="1" ht="12" customHeight="1" x14ac:dyDescent="0.2">
      <c r="A1150" s="205"/>
      <c r="B1150" s="12" t="s">
        <v>87</v>
      </c>
      <c r="C1150" s="11" t="s">
        <v>88</v>
      </c>
      <c r="D1150" s="11">
        <v>0.15</v>
      </c>
      <c r="E1150" s="44">
        <f>VLOOKUP(B1150,'Costo de Materiales'!B$4:D$350,3,FALSE)</f>
        <v>3.8277841627344161E-3</v>
      </c>
      <c r="F1150" s="206">
        <f t="shared" si="102"/>
        <v>5.7416762441016235E-4</v>
      </c>
      <c r="G1150" s="302"/>
      <c r="H1150" s="83"/>
      <c r="I1150" s="53"/>
      <c r="J1150" s="53"/>
      <c r="K1150" s="58"/>
    </row>
    <row r="1151" spans="1:11" s="3" customFormat="1" ht="12" customHeight="1" x14ac:dyDescent="0.2">
      <c r="A1151" s="205"/>
      <c r="B1151" s="12" t="s">
        <v>111</v>
      </c>
      <c r="C1151" s="11" t="s">
        <v>11</v>
      </c>
      <c r="D1151" s="11">
        <v>0.03</v>
      </c>
      <c r="E1151" s="44">
        <f>SUM(F1148:F1150)</f>
        <v>2.9834419626580518E-2</v>
      </c>
      <c r="F1151" s="206">
        <f t="shared" si="102"/>
        <v>8.9503258879741548E-4</v>
      </c>
      <c r="G1151" s="302"/>
      <c r="H1151" s="83"/>
      <c r="I1151" s="53"/>
      <c r="J1151" s="53"/>
      <c r="K1151" s="58"/>
    </row>
    <row r="1152" spans="1:11" s="3" customFormat="1" ht="12" customHeight="1" x14ac:dyDescent="0.2">
      <c r="A1152" s="205"/>
      <c r="B1152" s="12" t="s">
        <v>89</v>
      </c>
      <c r="C1152" s="11" t="s">
        <v>33</v>
      </c>
      <c r="D1152" s="11">
        <v>0.03</v>
      </c>
      <c r="E1152" s="44">
        <f>VLOOKUP(B1152,'Costo de Materiales'!B$4:D$350,3,FALSE)</f>
        <v>0.73684845132637522</v>
      </c>
      <c r="F1152" s="206">
        <f t="shared" si="102"/>
        <v>2.2105453539791257E-2</v>
      </c>
      <c r="G1152" s="302"/>
      <c r="H1152" s="83"/>
      <c r="I1152" s="53"/>
      <c r="J1152" s="53"/>
      <c r="K1152" s="58"/>
    </row>
    <row r="1153" spans="1:11" s="3" customFormat="1" ht="12" customHeight="1" x14ac:dyDescent="0.2">
      <c r="A1153" s="207"/>
      <c r="B1153" s="26" t="s">
        <v>109</v>
      </c>
      <c r="C1153" s="23" t="s">
        <v>11</v>
      </c>
      <c r="D1153" s="80">
        <f>VLOOKUP(B1153,'Costo de Materiales'!B$4:D$350,3,FALSE)</f>
        <v>0.28999999999999998</v>
      </c>
      <c r="E1153" s="45">
        <f>F1152</f>
        <v>2.2105453539791257E-2</v>
      </c>
      <c r="F1153" s="208">
        <f t="shared" si="102"/>
        <v>6.4105815265394642E-3</v>
      </c>
      <c r="G1153" s="302"/>
      <c r="H1153" s="83"/>
      <c r="I1153" s="53"/>
      <c r="J1153" s="53"/>
      <c r="K1153" s="58"/>
    </row>
    <row r="1154" spans="1:11" s="3" customFormat="1" ht="12" customHeight="1" x14ac:dyDescent="0.2">
      <c r="A1154" s="209">
        <v>44</v>
      </c>
      <c r="B1154" s="93" t="s">
        <v>477</v>
      </c>
      <c r="C1154" s="91" t="s">
        <v>38</v>
      </c>
      <c r="D1154" s="95"/>
      <c r="E1154" s="94"/>
      <c r="F1154" s="210">
        <f>SUM(F1155:F1159)</f>
        <v>2.7873268148007977E-2</v>
      </c>
      <c r="G1154" s="303"/>
      <c r="H1154" s="83"/>
      <c r="I1154" s="53"/>
      <c r="J1154" s="53"/>
      <c r="K1154" s="58"/>
    </row>
    <row r="1155" spans="1:11" s="3" customFormat="1" ht="12" customHeight="1" x14ac:dyDescent="0.2">
      <c r="A1155" s="205"/>
      <c r="B1155" s="12" t="s">
        <v>59</v>
      </c>
      <c r="C1155" s="11" t="s">
        <v>595</v>
      </c>
      <c r="D1155" s="20">
        <v>0.05</v>
      </c>
      <c r="E1155" s="44">
        <f>VLOOKUP(B1155,'Costo de Materiales'!B$4:D$350,3,FALSE)</f>
        <v>0.49454971382528656</v>
      </c>
      <c r="F1155" s="206">
        <f>D1155*E1155</f>
        <v>2.4727485691264331E-2</v>
      </c>
      <c r="G1155" s="302"/>
      <c r="H1155" s="83"/>
      <c r="I1155" s="53"/>
      <c r="J1155" s="53"/>
      <c r="K1155" s="58"/>
    </row>
    <row r="1156" spans="1:11" s="3" customFormat="1" ht="12" customHeight="1" x14ac:dyDescent="0.2">
      <c r="A1156" s="205"/>
      <c r="B1156" s="12" t="s">
        <v>320</v>
      </c>
      <c r="C1156" s="11" t="s">
        <v>17</v>
      </c>
      <c r="D1156" s="20">
        <v>2E-3</v>
      </c>
      <c r="E1156" s="44">
        <f>VLOOKUP(B1156,'Costo de Materiales'!B$4:D$350,3,FALSE)</f>
        <v>6.8278100002775149E-2</v>
      </c>
      <c r="F1156" s="206">
        <f>D1156*E1156</f>
        <v>1.3655620000555031E-4</v>
      </c>
      <c r="G1156" s="302"/>
      <c r="H1156" s="83"/>
      <c r="I1156" s="53"/>
      <c r="J1156" s="53"/>
      <c r="K1156" s="58"/>
    </row>
    <row r="1157" spans="1:11" s="3" customFormat="1" ht="12" customHeight="1" x14ac:dyDescent="0.2">
      <c r="A1157" s="205"/>
      <c r="B1157" s="15" t="s">
        <v>111</v>
      </c>
      <c r="C1157" s="11" t="s">
        <v>11</v>
      </c>
      <c r="D1157" s="20">
        <v>0.03</v>
      </c>
      <c r="E1157" s="44">
        <f>SUM(F1155:F1156)</f>
        <v>2.4864041891269881E-2</v>
      </c>
      <c r="F1157" s="206">
        <f>D1157*E1157</f>
        <v>7.4592125673809636E-4</v>
      </c>
      <c r="G1157" s="302"/>
      <c r="H1157" s="83"/>
      <c r="I1157" s="53"/>
      <c r="J1157" s="53"/>
      <c r="K1157" s="58"/>
    </row>
    <row r="1158" spans="1:11" s="3" customFormat="1" ht="12" customHeight="1" x14ac:dyDescent="0.2">
      <c r="A1158" s="205"/>
      <c r="B1158" s="12" t="s">
        <v>1</v>
      </c>
      <c r="C1158" s="11" t="s">
        <v>33</v>
      </c>
      <c r="D1158" s="20">
        <v>5.0000000000000001E-3</v>
      </c>
      <c r="E1158" s="44">
        <f>VLOOKUP(B1158,'Costo de Materiales'!B$4:D$350,3,FALSE)</f>
        <v>0.35090000000000005</v>
      </c>
      <c r="F1158" s="206">
        <f>D1158*E1158</f>
        <v>1.7545000000000002E-3</v>
      </c>
      <c r="G1158" s="302"/>
      <c r="H1158" s="83"/>
      <c r="I1158" s="53"/>
      <c r="J1158" s="53"/>
      <c r="K1158" s="58"/>
    </row>
    <row r="1159" spans="1:11" s="3" customFormat="1" ht="12" customHeight="1" x14ac:dyDescent="0.2">
      <c r="A1159" s="207"/>
      <c r="B1159" s="31" t="s">
        <v>93</v>
      </c>
      <c r="C1159" s="28" t="s">
        <v>11</v>
      </c>
      <c r="D1159" s="80">
        <f>VLOOKUP(B1159,'Costo de Materiales'!B$4:D$350,3,FALSE)</f>
        <v>0.28999999999999998</v>
      </c>
      <c r="E1159" s="45">
        <f>F1158</f>
        <v>1.7545000000000002E-3</v>
      </c>
      <c r="F1159" s="208">
        <f>D1159*E1159</f>
        <v>5.0880499999999998E-4</v>
      </c>
      <c r="G1159" s="307"/>
      <c r="H1159" s="83"/>
      <c r="I1159" s="53"/>
      <c r="J1159" s="53"/>
      <c r="K1159" s="58"/>
    </row>
    <row r="1160" spans="1:11" s="41" customFormat="1" ht="12" customHeight="1" x14ac:dyDescent="0.2">
      <c r="A1160" s="209">
        <v>45</v>
      </c>
      <c r="B1160" s="93" t="s">
        <v>478</v>
      </c>
      <c r="C1160" s="91" t="s">
        <v>38</v>
      </c>
      <c r="D1160" s="95"/>
      <c r="E1160" s="94"/>
      <c r="F1160" s="210">
        <f>SUM(F1161:F1165)</f>
        <v>4.990017718099965E-2</v>
      </c>
      <c r="G1160" s="302"/>
      <c r="H1160" s="83"/>
      <c r="I1160" s="53"/>
      <c r="J1160" s="53"/>
      <c r="K1160" s="66"/>
    </row>
    <row r="1161" spans="1:11" s="41" customFormat="1" ht="12" customHeight="1" x14ac:dyDescent="0.2">
      <c r="A1161" s="205"/>
      <c r="B1161" s="12" t="s">
        <v>442</v>
      </c>
      <c r="C1161" s="11" t="s">
        <v>305</v>
      </c>
      <c r="D1161" s="20">
        <v>2.5000000000000001E-2</v>
      </c>
      <c r="E1161" s="44">
        <f>VLOOKUP(B1161,'Costo de Materiales'!B$4:D$350,3,FALSE)</f>
        <v>1.0168987101324318</v>
      </c>
      <c r="F1161" s="206">
        <f>D1161*E1161</f>
        <v>2.5422467753310796E-2</v>
      </c>
      <c r="G1161" s="302"/>
      <c r="H1161" s="83"/>
      <c r="I1161" s="53"/>
      <c r="J1161" s="53"/>
      <c r="K1161" s="66"/>
    </row>
    <row r="1162" spans="1:11" s="41" customFormat="1" ht="12" customHeight="1" x14ac:dyDescent="0.2">
      <c r="A1162" s="205"/>
      <c r="B1162" s="12" t="s">
        <v>320</v>
      </c>
      <c r="C1162" s="11" t="s">
        <v>17</v>
      </c>
      <c r="D1162" s="20">
        <v>8.0000000000000002E-3</v>
      </c>
      <c r="E1162" s="44">
        <f>VLOOKUP(B1162,'Costo de Materiales'!B$4:D$350,3,FALSE)</f>
        <v>6.8278100002775149E-2</v>
      </c>
      <c r="F1162" s="206">
        <f>D1162*E1162</f>
        <v>5.4622480002220126E-4</v>
      </c>
      <c r="G1162" s="302"/>
      <c r="H1162" s="83"/>
      <c r="I1162" s="53"/>
      <c r="J1162" s="53"/>
      <c r="K1162" s="66"/>
    </row>
    <row r="1163" spans="1:11" s="41" customFormat="1" ht="12" customHeight="1" x14ac:dyDescent="0.2">
      <c r="A1163" s="205"/>
      <c r="B1163" s="15" t="s">
        <v>111</v>
      </c>
      <c r="C1163" s="11" t="s">
        <v>11</v>
      </c>
      <c r="D1163" s="20">
        <v>0.05</v>
      </c>
      <c r="E1163" s="44">
        <f>SUM(F1161:F1162)</f>
        <v>2.5968692553332999E-2</v>
      </c>
      <c r="F1163" s="206">
        <f>D1163*E1163</f>
        <v>1.29843462766665E-3</v>
      </c>
      <c r="G1163" s="302"/>
      <c r="H1163" s="83"/>
      <c r="I1163" s="53"/>
      <c r="J1163" s="53"/>
      <c r="K1163" s="66"/>
    </row>
    <row r="1164" spans="1:11" s="41" customFormat="1" ht="12" customHeight="1" x14ac:dyDescent="0.2">
      <c r="A1164" s="205"/>
      <c r="B1164" s="12" t="s">
        <v>1</v>
      </c>
      <c r="C1164" s="11" t="s">
        <v>33</v>
      </c>
      <c r="D1164" s="20">
        <v>0.05</v>
      </c>
      <c r="E1164" s="44">
        <f>VLOOKUP(B1164,'Costo de Materiales'!B$4:D$350,3,FALSE)</f>
        <v>0.35090000000000005</v>
      </c>
      <c r="F1164" s="206">
        <f>D1164*E1164</f>
        <v>1.7545000000000002E-2</v>
      </c>
      <c r="G1164" s="302"/>
      <c r="H1164" s="83"/>
      <c r="I1164" s="53"/>
      <c r="J1164" s="53"/>
      <c r="K1164" s="66"/>
    </row>
    <row r="1165" spans="1:11" s="41" customFormat="1" ht="12" customHeight="1" x14ac:dyDescent="0.2">
      <c r="A1165" s="207"/>
      <c r="B1165" s="31" t="s">
        <v>93</v>
      </c>
      <c r="C1165" s="28" t="s">
        <v>11</v>
      </c>
      <c r="D1165" s="80">
        <f>VLOOKUP(B1165,'Costo de Materiales'!B$4:D$350,3,FALSE)</f>
        <v>0.28999999999999998</v>
      </c>
      <c r="E1165" s="45">
        <f>F1164</f>
        <v>1.7545000000000002E-2</v>
      </c>
      <c r="F1165" s="208">
        <f>D1165*E1165</f>
        <v>5.0880500000000002E-3</v>
      </c>
      <c r="G1165" s="302"/>
      <c r="H1165" s="83"/>
      <c r="I1165" s="53"/>
      <c r="J1165" s="53"/>
      <c r="K1165" s="66"/>
    </row>
    <row r="1166" spans="1:11" s="1" customFormat="1" ht="12" customHeight="1" x14ac:dyDescent="0.2">
      <c r="A1166" s="209">
        <v>46</v>
      </c>
      <c r="B1166" s="88" t="s">
        <v>479</v>
      </c>
      <c r="C1166" s="91" t="s">
        <v>38</v>
      </c>
      <c r="D1166" s="91"/>
      <c r="E1166" s="94"/>
      <c r="F1166" s="210">
        <f>SUM(F1167:F1172)</f>
        <v>2.9891822034830928E-2</v>
      </c>
      <c r="G1166" s="303"/>
      <c r="H1166" s="83"/>
      <c r="I1166" s="53"/>
      <c r="J1166" s="53"/>
      <c r="K1166" s="62"/>
    </row>
    <row r="1167" spans="1:11" s="3" customFormat="1" ht="12" customHeight="1" x14ac:dyDescent="0.2">
      <c r="A1167" s="205"/>
      <c r="B1167" s="15" t="s">
        <v>238</v>
      </c>
      <c r="C1167" s="11" t="s">
        <v>20</v>
      </c>
      <c r="D1167" s="20">
        <v>0.1</v>
      </c>
      <c r="E1167" s="44">
        <f>VLOOKUP(B1167,'Costo de Materiales'!B$4:D$350,3,FALSE)</f>
        <v>8.7225631608310497E-2</v>
      </c>
      <c r="F1167" s="206">
        <f t="shared" ref="F1167:F1172" si="103">D1167*E1167</f>
        <v>8.7225631608310508E-3</v>
      </c>
      <c r="G1167" s="302"/>
      <c r="H1167" s="83"/>
      <c r="I1167" s="53"/>
      <c r="J1167" s="53"/>
      <c r="K1167" s="58"/>
    </row>
    <row r="1168" spans="1:11" s="3" customFormat="1" ht="12" customHeight="1" x14ac:dyDescent="0.2">
      <c r="A1168" s="205"/>
      <c r="B1168" s="15" t="s">
        <v>87</v>
      </c>
      <c r="C1168" s="11" t="s">
        <v>17</v>
      </c>
      <c r="D1168" s="20">
        <v>0.15</v>
      </c>
      <c r="E1168" s="44">
        <f>VLOOKUP(B1168,'Costo de Materiales'!B$4:D$350,3,FALSE)</f>
        <v>3.8277841627344161E-3</v>
      </c>
      <c r="F1168" s="206">
        <f t="shared" si="103"/>
        <v>5.7416762441016235E-4</v>
      </c>
      <c r="G1168" s="302"/>
      <c r="H1168" s="83"/>
      <c r="I1168" s="53"/>
      <c r="J1168" s="53"/>
      <c r="K1168" s="58"/>
    </row>
    <row r="1169" spans="1:11" s="3" customFormat="1" ht="12" customHeight="1" x14ac:dyDescent="0.2">
      <c r="A1169" s="205"/>
      <c r="B1169" s="15" t="s">
        <v>112</v>
      </c>
      <c r="C1169" s="11" t="s">
        <v>17</v>
      </c>
      <c r="D1169" s="20">
        <v>0.01</v>
      </c>
      <c r="E1169" s="44">
        <f>VLOOKUP(B1169,'Costo de Materiales'!B$4:D$350,3,FALSE)</f>
        <v>0.12674750308854335</v>
      </c>
      <c r="F1169" s="206">
        <f t="shared" si="103"/>
        <v>1.2674750308854334E-3</v>
      </c>
      <c r="G1169" s="302"/>
      <c r="H1169" s="83"/>
      <c r="I1169" s="53"/>
      <c r="J1169" s="53"/>
      <c r="K1169" s="58"/>
    </row>
    <row r="1170" spans="1:11" s="3" customFormat="1" ht="12" customHeight="1" x14ac:dyDescent="0.2">
      <c r="A1170" s="205"/>
      <c r="B1170" s="15" t="s">
        <v>111</v>
      </c>
      <c r="C1170" s="11" t="s">
        <v>11</v>
      </c>
      <c r="D1170" s="20">
        <v>0.03</v>
      </c>
      <c r="E1170" s="44">
        <f>SUM(F1167:F1169)</f>
        <v>1.0564205816126647E-2</v>
      </c>
      <c r="F1170" s="206">
        <f t="shared" si="103"/>
        <v>3.1692617448379941E-4</v>
      </c>
      <c r="G1170" s="302"/>
      <c r="H1170" s="83"/>
      <c r="I1170" s="53"/>
      <c r="J1170" s="53"/>
      <c r="K1170" s="58"/>
    </row>
    <row r="1171" spans="1:11" s="3" customFormat="1" ht="12" customHeight="1" x14ac:dyDescent="0.2">
      <c r="A1171" s="205"/>
      <c r="B1171" s="15" t="s">
        <v>89</v>
      </c>
      <c r="C1171" s="11" t="s">
        <v>33</v>
      </c>
      <c r="D1171" s="20">
        <v>0.02</v>
      </c>
      <c r="E1171" s="44">
        <f>VLOOKUP(B1171,'Costo de Materiales'!B$4:D$350,3,FALSE)</f>
        <v>0.73684845132637522</v>
      </c>
      <c r="F1171" s="206">
        <f t="shared" si="103"/>
        <v>1.4736969026527505E-2</v>
      </c>
      <c r="G1171" s="302"/>
      <c r="H1171" s="83"/>
      <c r="I1171" s="53"/>
      <c r="J1171" s="53"/>
      <c r="K1171" s="58"/>
    </row>
    <row r="1172" spans="1:11" s="3" customFormat="1" ht="12" customHeight="1" x14ac:dyDescent="0.2">
      <c r="A1172" s="207"/>
      <c r="B1172" s="27" t="s">
        <v>93</v>
      </c>
      <c r="C1172" s="23" t="s">
        <v>11</v>
      </c>
      <c r="D1172" s="80">
        <f>VLOOKUP(B1172,'Costo de Materiales'!B$4:D$350,3,FALSE)</f>
        <v>0.28999999999999998</v>
      </c>
      <c r="E1172" s="45">
        <f>F1171</f>
        <v>1.4736969026527505E-2</v>
      </c>
      <c r="F1172" s="208">
        <f t="shared" si="103"/>
        <v>4.2737210176929758E-3</v>
      </c>
      <c r="G1172" s="307"/>
      <c r="H1172" s="83"/>
      <c r="I1172" s="53"/>
      <c r="J1172" s="53"/>
      <c r="K1172" s="58"/>
    </row>
    <row r="1173" spans="1:11" s="39" customFormat="1" ht="12" customHeight="1" x14ac:dyDescent="0.2">
      <c r="A1173" s="209">
        <v>47</v>
      </c>
      <c r="B1173" s="88" t="s">
        <v>233</v>
      </c>
      <c r="C1173" s="91" t="s">
        <v>38</v>
      </c>
      <c r="D1173" s="91"/>
      <c r="E1173" s="94"/>
      <c r="F1173" s="210">
        <f>SUM(F1174:F1179)</f>
        <v>4.5043833391866538E-2</v>
      </c>
      <c r="G1173" s="302"/>
      <c r="H1173" s="83"/>
      <c r="I1173" s="53"/>
      <c r="J1173" s="53"/>
      <c r="K1173" s="68"/>
    </row>
    <row r="1174" spans="1:11" s="39" customFormat="1" ht="12" customHeight="1" x14ac:dyDescent="0.2">
      <c r="A1174" s="233"/>
      <c r="B1174" s="10" t="s">
        <v>92</v>
      </c>
      <c r="C1174" s="11" t="s">
        <v>595</v>
      </c>
      <c r="D1174" s="21">
        <v>6.7000000000000004E-2</v>
      </c>
      <c r="E1174" s="46">
        <f>VLOOKUP(B1174,'Costo de Materiales'!B$4:D$350,3,FALSE)</f>
        <v>0.21201139531345245</v>
      </c>
      <c r="F1174" s="217">
        <f t="shared" ref="F1174:F1179" si="104">D1174*E1174</f>
        <v>1.4204763486001314E-2</v>
      </c>
      <c r="G1174" s="302"/>
      <c r="H1174" s="83"/>
      <c r="I1174" s="53"/>
      <c r="J1174" s="53"/>
      <c r="K1174" s="68"/>
    </row>
    <row r="1175" spans="1:11" s="3" customFormat="1" ht="12" customHeight="1" x14ac:dyDescent="0.2">
      <c r="A1175" s="205"/>
      <c r="B1175" s="12" t="s">
        <v>112</v>
      </c>
      <c r="C1175" s="11" t="s">
        <v>17</v>
      </c>
      <c r="D1175" s="11">
        <v>0.01</v>
      </c>
      <c r="E1175" s="44">
        <f>VLOOKUP(B1175,'Costo de Materiales'!B$4:D$350,3,FALSE)</f>
        <v>0.12674750308854335</v>
      </c>
      <c r="F1175" s="206">
        <f t="shared" si="104"/>
        <v>1.2674750308854334E-3</v>
      </c>
      <c r="G1175" s="302"/>
      <c r="H1175" s="83"/>
      <c r="I1175" s="53"/>
      <c r="J1175" s="53"/>
      <c r="K1175" s="58"/>
    </row>
    <row r="1176" spans="1:11" s="3" customFormat="1" ht="12" customHeight="1" x14ac:dyDescent="0.2">
      <c r="A1176" s="205"/>
      <c r="B1176" s="12" t="s">
        <v>87</v>
      </c>
      <c r="C1176" s="11" t="s">
        <v>88</v>
      </c>
      <c r="D1176" s="11">
        <v>0.15</v>
      </c>
      <c r="E1176" s="44">
        <f>VLOOKUP(B1176,'Costo de Materiales'!B$4:D$350,3,FALSE)</f>
        <v>3.8277841627344161E-3</v>
      </c>
      <c r="F1176" s="206">
        <f t="shared" si="104"/>
        <v>5.7416762441016235E-4</v>
      </c>
      <c r="G1176" s="302"/>
      <c r="H1176" s="83"/>
      <c r="I1176" s="53"/>
      <c r="J1176" s="53"/>
      <c r="K1176" s="58"/>
    </row>
    <row r="1177" spans="1:11" s="3" customFormat="1" ht="12" customHeight="1" x14ac:dyDescent="0.2">
      <c r="A1177" s="205"/>
      <c r="B1177" s="12" t="s">
        <v>111</v>
      </c>
      <c r="C1177" s="11" t="s">
        <v>11</v>
      </c>
      <c r="D1177" s="11">
        <v>0.03</v>
      </c>
      <c r="E1177" s="44">
        <f>SUM(F1174:F1176)</f>
        <v>1.6046406141296911E-2</v>
      </c>
      <c r="F1177" s="206">
        <f t="shared" si="104"/>
        <v>4.8139218423890731E-4</v>
      </c>
      <c r="G1177" s="302"/>
      <c r="H1177" s="83"/>
      <c r="I1177" s="53"/>
      <c r="J1177" s="53"/>
      <c r="K1177" s="58"/>
    </row>
    <row r="1178" spans="1:11" s="3" customFormat="1" ht="12" customHeight="1" x14ac:dyDescent="0.2">
      <c r="A1178" s="205"/>
      <c r="B1178" s="12" t="s">
        <v>89</v>
      </c>
      <c r="C1178" s="11" t="s">
        <v>33</v>
      </c>
      <c r="D1178" s="11">
        <v>0.03</v>
      </c>
      <c r="E1178" s="44">
        <f>VLOOKUP(B1178,'Costo de Materiales'!B$4:D$350,3,FALSE)</f>
        <v>0.73684845132637522</v>
      </c>
      <c r="F1178" s="206">
        <f t="shared" si="104"/>
        <v>2.2105453539791257E-2</v>
      </c>
      <c r="G1178" s="302"/>
      <c r="H1178" s="83"/>
      <c r="I1178" s="53"/>
      <c r="J1178" s="53"/>
      <c r="K1178" s="58"/>
    </row>
    <row r="1179" spans="1:11" s="3" customFormat="1" ht="12" customHeight="1" x14ac:dyDescent="0.2">
      <c r="A1179" s="207"/>
      <c r="B1179" s="26" t="s">
        <v>109</v>
      </c>
      <c r="C1179" s="23" t="s">
        <v>11</v>
      </c>
      <c r="D1179" s="80">
        <f>VLOOKUP(B1179,'Costo de Materiales'!B$4:D$350,3,FALSE)</f>
        <v>0.28999999999999998</v>
      </c>
      <c r="E1179" s="45">
        <f>F1178</f>
        <v>2.2105453539791257E-2</v>
      </c>
      <c r="F1179" s="208">
        <f t="shared" si="104"/>
        <v>6.4105815265394642E-3</v>
      </c>
      <c r="G1179" s="302"/>
      <c r="H1179" s="83"/>
      <c r="I1179" s="53"/>
      <c r="J1179" s="53"/>
      <c r="K1179" s="58"/>
    </row>
    <row r="1180" spans="1:11" ht="12" customHeight="1" x14ac:dyDescent="0.2">
      <c r="A1180" s="209">
        <v>48</v>
      </c>
      <c r="B1180" s="88" t="s">
        <v>234</v>
      </c>
      <c r="C1180" s="91" t="s">
        <v>38</v>
      </c>
      <c r="D1180" s="91"/>
      <c r="E1180" s="94"/>
      <c r="F1180" s="210">
        <f>SUM(F1181:F1186)</f>
        <v>6.0658718591834769E-2</v>
      </c>
      <c r="G1180" s="303"/>
      <c r="H1180" s="83"/>
      <c r="I1180" s="53"/>
      <c r="J1180" s="53"/>
    </row>
    <row r="1181" spans="1:11" s="3" customFormat="1" ht="12" customHeight="1" x14ac:dyDescent="0.2">
      <c r="A1181" s="205"/>
      <c r="B1181" s="12" t="s">
        <v>82</v>
      </c>
      <c r="C1181" s="11" t="s">
        <v>595</v>
      </c>
      <c r="D1181" s="11">
        <v>6.7000000000000004E-2</v>
      </c>
      <c r="E1181" s="44">
        <f>VLOOKUP(B1181,'Costo de Materiales'!B$4:D$350,3,FALSE)</f>
        <v>0.43828128663309063</v>
      </c>
      <c r="F1181" s="206">
        <f t="shared" ref="F1181:F1186" si="105">D1181*E1181</f>
        <v>2.9364846204417074E-2</v>
      </c>
      <c r="G1181" s="302"/>
      <c r="H1181" s="83"/>
      <c r="I1181" s="53"/>
      <c r="J1181" s="53"/>
      <c r="K1181" s="58"/>
    </row>
    <row r="1182" spans="1:11" s="3" customFormat="1" ht="12" customHeight="1" x14ac:dyDescent="0.2">
      <c r="A1182" s="205"/>
      <c r="B1182" s="12" t="s">
        <v>112</v>
      </c>
      <c r="C1182" s="11" t="s">
        <v>17</v>
      </c>
      <c r="D1182" s="11">
        <v>0.01</v>
      </c>
      <c r="E1182" s="44">
        <f>VLOOKUP(B1182,'Costo de Materiales'!B$4:D$350,3,FALSE)</f>
        <v>0.12674750308854335</v>
      </c>
      <c r="F1182" s="206">
        <f t="shared" si="105"/>
        <v>1.2674750308854334E-3</v>
      </c>
      <c r="G1182" s="302"/>
      <c r="H1182" s="83"/>
      <c r="I1182" s="53"/>
      <c r="J1182" s="53"/>
      <c r="K1182" s="58"/>
    </row>
    <row r="1183" spans="1:11" s="3" customFormat="1" ht="12" customHeight="1" x14ac:dyDescent="0.2">
      <c r="A1183" s="205"/>
      <c r="B1183" s="12" t="s">
        <v>87</v>
      </c>
      <c r="C1183" s="11" t="s">
        <v>88</v>
      </c>
      <c r="D1183" s="11">
        <v>0.15</v>
      </c>
      <c r="E1183" s="44">
        <f>VLOOKUP(B1183,'Costo de Materiales'!B$4:D$350,3,FALSE)</f>
        <v>3.8277841627344161E-3</v>
      </c>
      <c r="F1183" s="206">
        <f t="shared" si="105"/>
        <v>5.7416762441016235E-4</v>
      </c>
      <c r="G1183" s="302"/>
      <c r="H1183" s="83"/>
      <c r="I1183" s="53"/>
      <c r="J1183" s="53"/>
      <c r="K1183" s="58"/>
    </row>
    <row r="1184" spans="1:11" s="3" customFormat="1" ht="12" customHeight="1" x14ac:dyDescent="0.2">
      <c r="A1184" s="205"/>
      <c r="B1184" s="12" t="s">
        <v>111</v>
      </c>
      <c r="C1184" s="11" t="s">
        <v>11</v>
      </c>
      <c r="D1184" s="11">
        <v>0.03</v>
      </c>
      <c r="E1184" s="44">
        <f>SUM(F1181:F1183)</f>
        <v>3.120648885971267E-2</v>
      </c>
      <c r="F1184" s="206">
        <f t="shared" si="105"/>
        <v>9.3619466579138004E-4</v>
      </c>
      <c r="G1184" s="302"/>
      <c r="H1184" s="83"/>
      <c r="I1184" s="53"/>
      <c r="J1184" s="53"/>
      <c r="K1184" s="58"/>
    </row>
    <row r="1185" spans="1:11" s="3" customFormat="1" ht="12" customHeight="1" x14ac:dyDescent="0.2">
      <c r="A1185" s="205"/>
      <c r="B1185" s="12" t="s">
        <v>89</v>
      </c>
      <c r="C1185" s="11" t="s">
        <v>33</v>
      </c>
      <c r="D1185" s="11">
        <v>0.03</v>
      </c>
      <c r="E1185" s="44">
        <f>VLOOKUP(B1185,'Costo de Materiales'!B$4:D$350,3,FALSE)</f>
        <v>0.73684845132637522</v>
      </c>
      <c r="F1185" s="206">
        <f t="shared" si="105"/>
        <v>2.2105453539791257E-2</v>
      </c>
      <c r="G1185" s="302"/>
      <c r="H1185" s="83"/>
      <c r="I1185" s="53"/>
      <c r="J1185" s="53"/>
      <c r="K1185" s="58"/>
    </row>
    <row r="1186" spans="1:11" s="3" customFormat="1" ht="12" customHeight="1" x14ac:dyDescent="0.2">
      <c r="A1186" s="207"/>
      <c r="B1186" s="26" t="s">
        <v>109</v>
      </c>
      <c r="C1186" s="23" t="s">
        <v>11</v>
      </c>
      <c r="D1186" s="80">
        <f>VLOOKUP(B1186,'Costo de Materiales'!B$4:D$350,3,FALSE)</f>
        <v>0.28999999999999998</v>
      </c>
      <c r="E1186" s="45">
        <f>F1185</f>
        <v>2.2105453539791257E-2</v>
      </c>
      <c r="F1186" s="208">
        <f t="shared" si="105"/>
        <v>6.4105815265394642E-3</v>
      </c>
      <c r="G1186" s="307"/>
      <c r="H1186" s="83"/>
      <c r="I1186" s="53"/>
      <c r="J1186" s="53"/>
      <c r="K1186" s="58"/>
    </row>
    <row r="1187" spans="1:11" s="1" customFormat="1" ht="12" customHeight="1" x14ac:dyDescent="0.2">
      <c r="A1187" s="209">
        <v>49</v>
      </c>
      <c r="B1187" s="93" t="s">
        <v>429</v>
      </c>
      <c r="C1187" s="91" t="s">
        <v>38</v>
      </c>
      <c r="D1187" s="91"/>
      <c r="E1187" s="94"/>
      <c r="F1187" s="210">
        <f>SUM(F1188:F1195)</f>
        <v>0.34147279737337455</v>
      </c>
      <c r="G1187" s="302"/>
      <c r="H1187" s="83"/>
      <c r="I1187" s="53"/>
      <c r="J1187" s="53"/>
      <c r="K1187" s="62"/>
    </row>
    <row r="1188" spans="1:11" s="3" customFormat="1" ht="12" customHeight="1" x14ac:dyDescent="0.2">
      <c r="A1188" s="205"/>
      <c r="B1188" s="15" t="s">
        <v>252</v>
      </c>
      <c r="C1188" s="11" t="s">
        <v>38</v>
      </c>
      <c r="D1188" s="11">
        <v>1</v>
      </c>
      <c r="E1188" s="44">
        <f>VLOOKUP(B1188,'Costo de Materiales'!B$4:D$350,3,FALSE)</f>
        <v>0.17248952383321961</v>
      </c>
      <c r="F1188" s="206">
        <f>D1188*E1188</f>
        <v>0.17248952383321961</v>
      </c>
      <c r="G1188" s="302"/>
      <c r="H1188" s="83"/>
      <c r="I1188" s="53"/>
      <c r="J1188" s="53"/>
      <c r="K1188" s="58"/>
    </row>
    <row r="1189" spans="1:11" s="3" customFormat="1" ht="12" customHeight="1" x14ac:dyDescent="0.2">
      <c r="A1189" s="205"/>
      <c r="B1189" s="15" t="s">
        <v>263</v>
      </c>
      <c r="C1189" s="11" t="s">
        <v>568</v>
      </c>
      <c r="D1189" s="11">
        <v>0.68</v>
      </c>
      <c r="E1189" s="44">
        <f>VLOOKUP(B1189,'Costo de Materiales'!B$4:D$350,3,FALSE)</f>
        <v>4.1722847373805133E-2</v>
      </c>
      <c r="F1189" s="206">
        <f t="shared" ref="F1189:F1195" si="106">D1189*E1189</f>
        <v>2.8371536214187493E-2</v>
      </c>
      <c r="G1189" s="302"/>
      <c r="H1189" s="83"/>
      <c r="I1189" s="53"/>
      <c r="J1189" s="53"/>
      <c r="K1189" s="58"/>
    </row>
    <row r="1190" spans="1:11" s="3" customFormat="1" ht="12" customHeight="1" x14ac:dyDescent="0.2">
      <c r="A1190" s="205"/>
      <c r="B1190" s="15" t="s">
        <v>251</v>
      </c>
      <c r="C1190" s="11" t="s">
        <v>568</v>
      </c>
      <c r="D1190" s="11">
        <v>0.08</v>
      </c>
      <c r="E1190" s="44">
        <f>VLOOKUP(B1190,'Costo de Materiales'!B$4:D$350,3,FALSE)</f>
        <v>4.8469316960624544E-2</v>
      </c>
      <c r="F1190" s="206">
        <f t="shared" si="106"/>
        <v>3.8775453568499637E-3</v>
      </c>
      <c r="G1190" s="302"/>
      <c r="H1190" s="83"/>
      <c r="I1190" s="53"/>
      <c r="J1190" s="53"/>
      <c r="K1190" s="58"/>
    </row>
    <row r="1191" spans="1:11" s="3" customFormat="1" ht="12" customHeight="1" x14ac:dyDescent="0.2">
      <c r="A1191" s="205"/>
      <c r="B1191" s="15" t="s">
        <v>253</v>
      </c>
      <c r="C1191" s="11" t="s">
        <v>38</v>
      </c>
      <c r="D1191" s="11">
        <v>1</v>
      </c>
      <c r="E1191" s="44">
        <f>VLOOKUP(B1191,'Costo de Materiales'!B$4:D$350,3,FALSE)</f>
        <v>4.0191733708711368E-2</v>
      </c>
      <c r="F1191" s="206">
        <f t="shared" si="106"/>
        <v>4.0191733708711368E-2</v>
      </c>
      <c r="G1191" s="302"/>
      <c r="H1191" s="83"/>
      <c r="I1191" s="53"/>
      <c r="J1191" s="53"/>
      <c r="K1191" s="58"/>
    </row>
    <row r="1192" spans="1:11" s="3" customFormat="1" ht="12" customHeight="1" x14ac:dyDescent="0.2">
      <c r="A1192" s="205"/>
      <c r="B1192" s="15" t="s">
        <v>111</v>
      </c>
      <c r="C1192" s="11" t="s">
        <v>11</v>
      </c>
      <c r="D1192" s="11">
        <v>0.08</v>
      </c>
      <c r="E1192" s="44">
        <f>SUM(F1188:F1191)</f>
        <v>0.24493033911296846</v>
      </c>
      <c r="F1192" s="206">
        <f t="shared" si="106"/>
        <v>1.9594427129037476E-2</v>
      </c>
      <c r="G1192" s="302"/>
      <c r="H1192" s="83"/>
      <c r="I1192" s="53"/>
      <c r="J1192" s="53"/>
      <c r="K1192" s="58"/>
    </row>
    <row r="1193" spans="1:11" s="3" customFormat="1" ht="12" customHeight="1" x14ac:dyDescent="0.2">
      <c r="A1193" s="205"/>
      <c r="B1193" s="15" t="s">
        <v>83</v>
      </c>
      <c r="C1193" s="11" t="s">
        <v>33</v>
      </c>
      <c r="D1193" s="11">
        <v>0.05</v>
      </c>
      <c r="E1193" s="44">
        <f>VLOOKUP(B1193,'Costo de Materiales'!B$4:D$350,3,FALSE)</f>
        <v>0.84211251580157165</v>
      </c>
      <c r="F1193" s="206">
        <f t="shared" si="106"/>
        <v>4.2105625790078587E-2</v>
      </c>
      <c r="G1193" s="302"/>
      <c r="H1193" s="83"/>
      <c r="I1193" s="53"/>
      <c r="J1193" s="53"/>
      <c r="K1193" s="58"/>
    </row>
    <row r="1194" spans="1:11" s="3" customFormat="1" ht="12" customHeight="1" x14ac:dyDescent="0.2">
      <c r="A1194" s="205"/>
      <c r="B1194" s="15" t="s">
        <v>10</v>
      </c>
      <c r="C1194" s="11" t="s">
        <v>33</v>
      </c>
      <c r="D1194" s="11">
        <v>0.05</v>
      </c>
      <c r="E1194" s="44">
        <f>VLOOKUP(B1194,'Costo de Materiales'!B$4:D$350,3,FALSE)</f>
        <v>0.35088021491732146</v>
      </c>
      <c r="F1194" s="206">
        <f t="shared" si="106"/>
        <v>1.7544010745866073E-2</v>
      </c>
      <c r="G1194" s="302"/>
      <c r="H1194" s="83"/>
      <c r="I1194" s="53"/>
      <c r="J1194" s="53"/>
      <c r="K1194" s="58"/>
    </row>
    <row r="1195" spans="1:11" s="3" customFormat="1" ht="12" customHeight="1" x14ac:dyDescent="0.2">
      <c r="A1195" s="207"/>
      <c r="B1195" s="27" t="s">
        <v>109</v>
      </c>
      <c r="C1195" s="23" t="s">
        <v>11</v>
      </c>
      <c r="D1195" s="80">
        <f>VLOOKUP(B1195,'Costo de Materiales'!B$4:D$350,3,FALSE)</f>
        <v>0.28999999999999998</v>
      </c>
      <c r="E1195" s="45">
        <f>SUM(F1193:F1194)</f>
        <v>5.9649636535944656E-2</v>
      </c>
      <c r="F1195" s="208">
        <f t="shared" si="106"/>
        <v>1.7298394595423948E-2</v>
      </c>
      <c r="G1195" s="302"/>
      <c r="H1195" s="83"/>
      <c r="I1195" s="53"/>
      <c r="J1195" s="53"/>
      <c r="K1195" s="58"/>
    </row>
    <row r="1196" spans="1:11" s="1" customFormat="1" ht="12" customHeight="1" x14ac:dyDescent="0.2">
      <c r="A1196" s="209">
        <v>50</v>
      </c>
      <c r="B1196" s="93" t="s">
        <v>428</v>
      </c>
      <c r="C1196" s="91" t="s">
        <v>38</v>
      </c>
      <c r="D1196" s="91"/>
      <c r="E1196" s="94"/>
      <c r="F1196" s="210">
        <f>SUM(F1197:F1204)</f>
        <v>0.45872356795417379</v>
      </c>
      <c r="G1196" s="303"/>
      <c r="H1196" s="83"/>
      <c r="I1196" s="53"/>
      <c r="J1196" s="53"/>
      <c r="K1196" s="62"/>
    </row>
    <row r="1197" spans="1:11" s="3" customFormat="1" ht="12" customHeight="1" x14ac:dyDescent="0.2">
      <c r="A1197" s="205"/>
      <c r="B1197" s="15" t="s">
        <v>250</v>
      </c>
      <c r="C1197" s="11" t="s">
        <v>38</v>
      </c>
      <c r="D1197" s="11">
        <v>1</v>
      </c>
      <c r="E1197" s="44">
        <f>VLOOKUP(B1197,'Costo de Materiales'!B$4:D$350,3,FALSE)</f>
        <v>0.28105505214877446</v>
      </c>
      <c r="F1197" s="206">
        <f>D1197*E1197</f>
        <v>0.28105505214877446</v>
      </c>
      <c r="G1197" s="302"/>
      <c r="H1197" s="83"/>
      <c r="I1197" s="53"/>
      <c r="J1197" s="53"/>
      <c r="K1197" s="58"/>
    </row>
    <row r="1198" spans="1:11" s="3" customFormat="1" ht="12" customHeight="1" x14ac:dyDescent="0.2">
      <c r="A1198" s="205"/>
      <c r="B1198" s="15" t="s">
        <v>263</v>
      </c>
      <c r="C1198" s="11" t="s">
        <v>568</v>
      </c>
      <c r="D1198" s="11">
        <v>0.68</v>
      </c>
      <c r="E1198" s="44">
        <f>VLOOKUP(B1198,'Costo de Materiales'!B$4:D$350,3,FALSE)</f>
        <v>4.1722847373805133E-2</v>
      </c>
      <c r="F1198" s="206">
        <f t="shared" ref="F1198:F1204" si="107">D1198*E1198</f>
        <v>2.8371536214187493E-2</v>
      </c>
      <c r="G1198" s="302"/>
      <c r="H1198" s="83"/>
      <c r="I1198" s="53"/>
      <c r="J1198" s="53"/>
      <c r="K1198" s="58"/>
    </row>
    <row r="1199" spans="1:11" s="3" customFormat="1" ht="12" customHeight="1" x14ac:dyDescent="0.2">
      <c r="A1199" s="205"/>
      <c r="B1199" s="15" t="s">
        <v>251</v>
      </c>
      <c r="C1199" s="11" t="s">
        <v>568</v>
      </c>
      <c r="D1199" s="11">
        <v>0.08</v>
      </c>
      <c r="E1199" s="44">
        <f>VLOOKUP(B1199,'Costo de Materiales'!B$4:D$350,3,FALSE)</f>
        <v>4.8469316960624544E-2</v>
      </c>
      <c r="F1199" s="206">
        <f t="shared" si="107"/>
        <v>3.8775453568499637E-3</v>
      </c>
      <c r="G1199" s="302"/>
      <c r="H1199" s="83"/>
      <c r="I1199" s="53"/>
      <c r="J1199" s="53"/>
      <c r="K1199" s="58"/>
    </row>
    <row r="1200" spans="1:11" s="3" customFormat="1" ht="12" customHeight="1" x14ac:dyDescent="0.2">
      <c r="A1200" s="205"/>
      <c r="B1200" s="15" t="s">
        <v>253</v>
      </c>
      <c r="C1200" s="11" t="s">
        <v>38</v>
      </c>
      <c r="D1200" s="11">
        <v>1</v>
      </c>
      <c r="E1200" s="44">
        <f>VLOOKUP(B1200,'Costo de Materiales'!B$4:D$350,3,FALSE)</f>
        <v>4.0191733708711368E-2</v>
      </c>
      <c r="F1200" s="206">
        <f t="shared" si="107"/>
        <v>4.0191733708711368E-2</v>
      </c>
      <c r="G1200" s="302"/>
      <c r="H1200" s="83"/>
      <c r="I1200" s="53"/>
      <c r="J1200" s="53"/>
      <c r="K1200" s="58"/>
    </row>
    <row r="1201" spans="1:11" s="3" customFormat="1" ht="12" customHeight="1" x14ac:dyDescent="0.2">
      <c r="A1201" s="205"/>
      <c r="B1201" s="15" t="s">
        <v>111</v>
      </c>
      <c r="C1201" s="11" t="s">
        <v>11</v>
      </c>
      <c r="D1201" s="11">
        <v>0.08</v>
      </c>
      <c r="E1201" s="44">
        <f>SUM(F1197:F1200)</f>
        <v>0.35349586742852329</v>
      </c>
      <c r="F1201" s="206">
        <f t="shared" si="107"/>
        <v>2.8279669394281864E-2</v>
      </c>
      <c r="G1201" s="302"/>
      <c r="H1201" s="83"/>
      <c r="I1201" s="53"/>
      <c r="J1201" s="53"/>
      <c r="K1201" s="58"/>
    </row>
    <row r="1202" spans="1:11" s="3" customFormat="1" ht="12" customHeight="1" x14ac:dyDescent="0.2">
      <c r="A1202" s="205"/>
      <c r="B1202" s="15" t="s">
        <v>83</v>
      </c>
      <c r="C1202" s="11" t="s">
        <v>33</v>
      </c>
      <c r="D1202" s="11">
        <v>0.05</v>
      </c>
      <c r="E1202" s="44">
        <f>VLOOKUP(B1202,'Costo de Materiales'!B$4:D$350,3,FALSE)</f>
        <v>0.84211251580157165</v>
      </c>
      <c r="F1202" s="206">
        <f t="shared" si="107"/>
        <v>4.2105625790078587E-2</v>
      </c>
      <c r="G1202" s="302"/>
      <c r="H1202" s="83"/>
      <c r="I1202" s="53"/>
      <c r="J1202" s="53"/>
      <c r="K1202" s="58"/>
    </row>
    <row r="1203" spans="1:11" s="3" customFormat="1" ht="12" customHeight="1" x14ac:dyDescent="0.2">
      <c r="A1203" s="205"/>
      <c r="B1203" s="15" t="s">
        <v>10</v>
      </c>
      <c r="C1203" s="11" t="s">
        <v>33</v>
      </c>
      <c r="D1203" s="11">
        <v>0.05</v>
      </c>
      <c r="E1203" s="44">
        <f>VLOOKUP(B1203,'Costo de Materiales'!B$4:D$350,3,FALSE)</f>
        <v>0.35088021491732146</v>
      </c>
      <c r="F1203" s="206">
        <f t="shared" si="107"/>
        <v>1.7544010745866073E-2</v>
      </c>
      <c r="G1203" s="302"/>
      <c r="H1203" s="83"/>
      <c r="I1203" s="53"/>
      <c r="J1203" s="53"/>
      <c r="K1203" s="58"/>
    </row>
    <row r="1204" spans="1:11" s="3" customFormat="1" ht="12" customHeight="1" x14ac:dyDescent="0.2">
      <c r="A1204" s="207"/>
      <c r="B1204" s="27" t="s">
        <v>109</v>
      </c>
      <c r="C1204" s="23" t="s">
        <v>11</v>
      </c>
      <c r="D1204" s="80">
        <f>VLOOKUP(B1204,'Costo de Materiales'!B$4:D$350,3,FALSE)</f>
        <v>0.28999999999999998</v>
      </c>
      <c r="E1204" s="45">
        <f>SUM(F1202:F1203)</f>
        <v>5.9649636535944656E-2</v>
      </c>
      <c r="F1204" s="208">
        <f t="shared" si="107"/>
        <v>1.7298394595423948E-2</v>
      </c>
      <c r="G1204" s="307"/>
      <c r="H1204" s="83"/>
      <c r="I1204" s="53"/>
      <c r="J1204" s="53"/>
      <c r="K1204" s="58"/>
    </row>
    <row r="1205" spans="1:11" s="1" customFormat="1" ht="12" customHeight="1" x14ac:dyDescent="0.2">
      <c r="A1205" s="209">
        <v>51</v>
      </c>
      <c r="B1205" s="93" t="s">
        <v>217</v>
      </c>
      <c r="C1205" s="95" t="s">
        <v>17</v>
      </c>
      <c r="D1205" s="95"/>
      <c r="E1205" s="94"/>
      <c r="F1205" s="210">
        <f>SUM(F1206:F1212)</f>
        <v>1.6942773065056724</v>
      </c>
      <c r="G1205" s="302"/>
      <c r="H1205" s="83"/>
      <c r="I1205" s="53"/>
      <c r="J1205" s="53"/>
      <c r="K1205" s="62"/>
    </row>
    <row r="1206" spans="1:11" s="3" customFormat="1" ht="12" customHeight="1" x14ac:dyDescent="0.2">
      <c r="A1206" s="205"/>
      <c r="B1206" s="15" t="s">
        <v>210</v>
      </c>
      <c r="C1206" s="20" t="s">
        <v>17</v>
      </c>
      <c r="D1206" s="20">
        <v>1</v>
      </c>
      <c r="E1206" s="44">
        <f>VLOOKUP(B1206,'Costo de Materiales'!B$4:D$350,3,FALSE)</f>
        <v>0.5587034724422657</v>
      </c>
      <c r="F1206" s="206">
        <f>D1206*E1206</f>
        <v>0.5587034724422657</v>
      </c>
      <c r="G1206" s="302"/>
      <c r="H1206" s="83"/>
      <c r="I1206" s="53"/>
      <c r="J1206" s="53"/>
      <c r="K1206" s="58"/>
    </row>
    <row r="1207" spans="1:11" s="3" customFormat="1" ht="12" customHeight="1" x14ac:dyDescent="0.2">
      <c r="A1207" s="205"/>
      <c r="B1207" s="15" t="s">
        <v>206</v>
      </c>
      <c r="C1207" s="20" t="s">
        <v>17</v>
      </c>
      <c r="D1207" s="20">
        <v>3</v>
      </c>
      <c r="E1207" s="44">
        <f>VLOOKUP(B1207,'Costo de Materiales'!B$4:D$350,3,FALSE)</f>
        <v>8.8039035742891569E-2</v>
      </c>
      <c r="F1207" s="206">
        <f t="shared" ref="F1207:F1212" si="108">D1207*E1207</f>
        <v>0.26411710722867471</v>
      </c>
      <c r="G1207" s="302"/>
      <c r="H1207" s="83"/>
      <c r="I1207" s="53"/>
      <c r="J1207" s="53"/>
      <c r="K1207" s="58"/>
    </row>
    <row r="1208" spans="1:11" s="3" customFormat="1" ht="12" customHeight="1" x14ac:dyDescent="0.2">
      <c r="A1208" s="205"/>
      <c r="B1208" s="12" t="s">
        <v>57</v>
      </c>
      <c r="C1208" s="20" t="s">
        <v>17</v>
      </c>
      <c r="D1208" s="20">
        <v>1</v>
      </c>
      <c r="E1208" s="44">
        <f>VLOOKUP(B1208,'Costo de Materiales'!B$4:D$350,3,FALSE)</f>
        <v>0.479487800786565</v>
      </c>
      <c r="F1208" s="206">
        <f t="shared" si="108"/>
        <v>0.479487800786565</v>
      </c>
      <c r="G1208" s="302"/>
      <c r="H1208" s="83"/>
      <c r="I1208" s="53"/>
      <c r="J1208" s="53"/>
      <c r="K1208" s="58"/>
    </row>
    <row r="1209" spans="1:11" s="3" customFormat="1" ht="12" customHeight="1" x14ac:dyDescent="0.2">
      <c r="A1209" s="205"/>
      <c r="B1209" s="15" t="s">
        <v>336</v>
      </c>
      <c r="C1209" s="20" t="s">
        <v>17</v>
      </c>
      <c r="D1209" s="20">
        <v>12</v>
      </c>
      <c r="E1209" s="44">
        <f>VLOOKUP(B1209,'Costo de Materiales'!B$4:D$350,3,FALSE)</f>
        <v>4.4497990891787589E-3</v>
      </c>
      <c r="F1209" s="206">
        <f t="shared" si="108"/>
        <v>5.3397589070145107E-2</v>
      </c>
      <c r="G1209" s="302"/>
      <c r="H1209" s="83"/>
      <c r="I1209" s="53"/>
      <c r="J1209" s="53"/>
      <c r="K1209" s="58"/>
    </row>
    <row r="1210" spans="1:11" s="3" customFormat="1" ht="12" customHeight="1" x14ac:dyDescent="0.2">
      <c r="A1210" s="205"/>
      <c r="B1210" s="12" t="s">
        <v>83</v>
      </c>
      <c r="C1210" s="20" t="s">
        <v>33</v>
      </c>
      <c r="D1210" s="20">
        <v>0.22</v>
      </c>
      <c r="E1210" s="44">
        <f>VLOOKUP(B1210,'Costo de Materiales'!B$4:D$350,3,FALSE)</f>
        <v>0.84211251580157165</v>
      </c>
      <c r="F1210" s="206">
        <f t="shared" si="108"/>
        <v>0.18526475347634577</v>
      </c>
      <c r="G1210" s="302"/>
      <c r="H1210" s="83"/>
      <c r="I1210" s="53"/>
      <c r="J1210" s="53"/>
      <c r="K1210" s="58"/>
    </row>
    <row r="1211" spans="1:11" s="3" customFormat="1" ht="12" customHeight="1" x14ac:dyDescent="0.2">
      <c r="A1211" s="205"/>
      <c r="B1211" s="15" t="s">
        <v>10</v>
      </c>
      <c r="C1211" s="20" t="s">
        <v>33</v>
      </c>
      <c r="D1211" s="20">
        <v>0.22</v>
      </c>
      <c r="E1211" s="44">
        <f>VLOOKUP(B1211,'Costo de Materiales'!B$4:D$350,3,FALSE)</f>
        <v>0.35088021491732146</v>
      </c>
      <c r="F1211" s="206">
        <f t="shared" si="108"/>
        <v>7.7193647281810718E-2</v>
      </c>
      <c r="G1211" s="302"/>
      <c r="H1211" s="83"/>
      <c r="I1211" s="53"/>
      <c r="J1211" s="53"/>
      <c r="K1211" s="58"/>
    </row>
    <row r="1212" spans="1:11" s="3" customFormat="1" ht="12" customHeight="1" x14ac:dyDescent="0.2">
      <c r="A1212" s="207"/>
      <c r="B1212" s="27" t="s">
        <v>109</v>
      </c>
      <c r="C1212" s="28" t="s">
        <v>11</v>
      </c>
      <c r="D1212" s="80">
        <f>VLOOKUP(B1212,'Costo de Materiales'!B$4:D$350,3,FALSE)</f>
        <v>0.28999999999999998</v>
      </c>
      <c r="E1212" s="45">
        <f>SUM(F1210:F1211)</f>
        <v>0.26245840075815652</v>
      </c>
      <c r="F1212" s="208">
        <f t="shared" si="108"/>
        <v>7.6112936219865382E-2</v>
      </c>
      <c r="G1212" s="302"/>
      <c r="H1212" s="83"/>
      <c r="I1212" s="53"/>
      <c r="J1212" s="53"/>
      <c r="K1212" s="58"/>
    </row>
    <row r="1213" spans="1:11" s="1" customFormat="1" ht="12" customHeight="1" x14ac:dyDescent="0.2">
      <c r="A1213" s="209">
        <v>52</v>
      </c>
      <c r="B1213" s="93" t="s">
        <v>195</v>
      </c>
      <c r="C1213" s="95" t="s">
        <v>17</v>
      </c>
      <c r="D1213" s="95"/>
      <c r="E1213" s="94"/>
      <c r="F1213" s="210">
        <f>SUM(F1214:F1220)</f>
        <v>1.7408747604207904</v>
      </c>
      <c r="G1213" s="303"/>
      <c r="H1213" s="83"/>
      <c r="I1213" s="53"/>
      <c r="J1213" s="53"/>
      <c r="K1213" s="62"/>
    </row>
    <row r="1214" spans="1:11" s="3" customFormat="1" ht="12" customHeight="1" x14ac:dyDescent="0.2">
      <c r="A1214" s="205"/>
      <c r="B1214" s="15" t="s">
        <v>205</v>
      </c>
      <c r="C1214" s="20" t="s">
        <v>17</v>
      </c>
      <c r="D1214" s="20">
        <v>1</v>
      </c>
      <c r="E1214" s="44">
        <f>VLOOKUP(B1214,'Costo de Materiales'!B$4:D$350,3,FALSE)</f>
        <v>0.60530092635738375</v>
      </c>
      <c r="F1214" s="206">
        <f>D1214*E1214</f>
        <v>0.60530092635738375</v>
      </c>
      <c r="G1214" s="302"/>
      <c r="H1214" s="83"/>
      <c r="I1214" s="53"/>
      <c r="J1214" s="53"/>
      <c r="K1214" s="58"/>
    </row>
    <row r="1215" spans="1:11" s="3" customFormat="1" ht="12" customHeight="1" x14ac:dyDescent="0.2">
      <c r="A1215" s="205"/>
      <c r="B1215" s="15" t="s">
        <v>206</v>
      </c>
      <c r="C1215" s="20" t="s">
        <v>17</v>
      </c>
      <c r="D1215" s="20">
        <v>3</v>
      </c>
      <c r="E1215" s="44">
        <f>VLOOKUP(B1215,'Costo de Materiales'!B$4:D$350,3,FALSE)</f>
        <v>8.8039035742891569E-2</v>
      </c>
      <c r="F1215" s="206">
        <f t="shared" ref="F1215:F1220" si="109">D1215*E1215</f>
        <v>0.26411710722867471</v>
      </c>
      <c r="G1215" s="302"/>
      <c r="H1215" s="83"/>
      <c r="I1215" s="53"/>
      <c r="J1215" s="53"/>
      <c r="K1215" s="58"/>
    </row>
    <row r="1216" spans="1:11" s="3" customFormat="1" ht="12" customHeight="1" x14ac:dyDescent="0.2">
      <c r="A1216" s="205"/>
      <c r="B1216" s="12" t="s">
        <v>57</v>
      </c>
      <c r="C1216" s="20" t="s">
        <v>17</v>
      </c>
      <c r="D1216" s="20">
        <v>1</v>
      </c>
      <c r="E1216" s="44">
        <f>VLOOKUP(B1216,'Costo de Materiales'!B$4:D$350,3,FALSE)</f>
        <v>0.479487800786565</v>
      </c>
      <c r="F1216" s="206">
        <f t="shared" si="109"/>
        <v>0.479487800786565</v>
      </c>
      <c r="G1216" s="302"/>
      <c r="H1216" s="83"/>
      <c r="I1216" s="53"/>
      <c r="J1216" s="53"/>
      <c r="K1216" s="58"/>
    </row>
    <row r="1217" spans="1:11" s="3" customFormat="1" ht="12" customHeight="1" x14ac:dyDescent="0.2">
      <c r="A1217" s="205"/>
      <c r="B1217" s="15" t="s">
        <v>336</v>
      </c>
      <c r="C1217" s="20" t="s">
        <v>17</v>
      </c>
      <c r="D1217" s="20">
        <v>12</v>
      </c>
      <c r="E1217" s="44">
        <f>VLOOKUP(B1217,'Costo de Materiales'!B$4:D$350,3,FALSE)</f>
        <v>4.4497990891787589E-3</v>
      </c>
      <c r="F1217" s="206">
        <f t="shared" si="109"/>
        <v>5.3397589070145107E-2</v>
      </c>
      <c r="G1217" s="302"/>
      <c r="H1217" s="83"/>
      <c r="I1217" s="53"/>
      <c r="J1217" s="53"/>
      <c r="K1217" s="58"/>
    </row>
    <row r="1218" spans="1:11" s="3" customFormat="1" ht="12" customHeight="1" x14ac:dyDescent="0.2">
      <c r="A1218" s="205"/>
      <c r="B1218" s="12" t="s">
        <v>83</v>
      </c>
      <c r="C1218" s="20" t="s">
        <v>33</v>
      </c>
      <c r="D1218" s="20">
        <v>0.22</v>
      </c>
      <c r="E1218" s="44">
        <f>VLOOKUP(B1218,'Costo de Materiales'!B$4:D$350,3,FALSE)</f>
        <v>0.84211251580157165</v>
      </c>
      <c r="F1218" s="206">
        <f t="shared" si="109"/>
        <v>0.18526475347634577</v>
      </c>
      <c r="G1218" s="302"/>
      <c r="H1218" s="83"/>
      <c r="I1218" s="53"/>
      <c r="J1218" s="53"/>
      <c r="K1218" s="58"/>
    </row>
    <row r="1219" spans="1:11" s="3" customFormat="1" ht="12" customHeight="1" x14ac:dyDescent="0.2">
      <c r="A1219" s="205"/>
      <c r="B1219" s="15" t="s">
        <v>10</v>
      </c>
      <c r="C1219" s="20" t="s">
        <v>33</v>
      </c>
      <c r="D1219" s="20">
        <v>0.22</v>
      </c>
      <c r="E1219" s="44">
        <f>VLOOKUP(B1219,'Costo de Materiales'!B$4:D$350,3,FALSE)</f>
        <v>0.35088021491732146</v>
      </c>
      <c r="F1219" s="206">
        <f t="shared" si="109"/>
        <v>7.7193647281810718E-2</v>
      </c>
      <c r="G1219" s="302"/>
      <c r="H1219" s="83"/>
      <c r="I1219" s="53"/>
      <c r="J1219" s="53"/>
      <c r="K1219" s="58"/>
    </row>
    <row r="1220" spans="1:11" s="3" customFormat="1" ht="12" customHeight="1" x14ac:dyDescent="0.2">
      <c r="A1220" s="207"/>
      <c r="B1220" s="27" t="s">
        <v>109</v>
      </c>
      <c r="C1220" s="28" t="s">
        <v>11</v>
      </c>
      <c r="D1220" s="80">
        <f>VLOOKUP(B1220,'Costo de Materiales'!B$4:D$350,3,FALSE)</f>
        <v>0.28999999999999998</v>
      </c>
      <c r="E1220" s="45">
        <f>SUM(F1218:F1219)</f>
        <v>0.26245840075815652</v>
      </c>
      <c r="F1220" s="208">
        <f t="shared" si="109"/>
        <v>7.6112936219865382E-2</v>
      </c>
      <c r="G1220" s="307"/>
      <c r="H1220" s="83"/>
      <c r="I1220" s="53"/>
      <c r="J1220" s="53"/>
      <c r="K1220" s="58"/>
    </row>
    <row r="1221" spans="1:11" s="1" customFormat="1" ht="12" customHeight="1" x14ac:dyDescent="0.2">
      <c r="A1221" s="209">
        <v>53</v>
      </c>
      <c r="B1221" s="93" t="s">
        <v>196</v>
      </c>
      <c r="C1221" s="95" t="s">
        <v>17</v>
      </c>
      <c r="D1221" s="95"/>
      <c r="E1221" s="94"/>
      <c r="F1221" s="210">
        <f>SUM(F1222:F1228)</f>
        <v>1.750194251203814</v>
      </c>
      <c r="G1221" s="302"/>
      <c r="H1221" s="83"/>
      <c r="I1221" s="53"/>
      <c r="J1221" s="53"/>
      <c r="K1221" s="62"/>
    </row>
    <row r="1222" spans="1:11" s="3" customFormat="1" ht="12" customHeight="1" x14ac:dyDescent="0.2">
      <c r="A1222" s="205"/>
      <c r="B1222" s="15" t="s">
        <v>103</v>
      </c>
      <c r="C1222" s="20" t="s">
        <v>17</v>
      </c>
      <c r="D1222" s="20">
        <v>1</v>
      </c>
      <c r="E1222" s="44">
        <f>VLOOKUP(B1222,'Costo de Materiales'!B$4:D$350,3,FALSE)</f>
        <v>0.61462041714040738</v>
      </c>
      <c r="F1222" s="206">
        <f>D1222*E1222</f>
        <v>0.61462041714040738</v>
      </c>
      <c r="G1222" s="302"/>
      <c r="H1222" s="83"/>
      <c r="I1222" s="53"/>
      <c r="J1222" s="53"/>
      <c r="K1222" s="58"/>
    </row>
    <row r="1223" spans="1:11" s="3" customFormat="1" ht="12" customHeight="1" x14ac:dyDescent="0.2">
      <c r="A1223" s="205"/>
      <c r="B1223" s="15" t="s">
        <v>206</v>
      </c>
      <c r="C1223" s="20" t="s">
        <v>17</v>
      </c>
      <c r="D1223" s="20">
        <v>3</v>
      </c>
      <c r="E1223" s="44">
        <f>VLOOKUP(B1223,'Costo de Materiales'!B$4:D$350,3,FALSE)</f>
        <v>8.8039035742891569E-2</v>
      </c>
      <c r="F1223" s="206">
        <f t="shared" ref="F1223:F1228" si="110">D1223*E1223</f>
        <v>0.26411710722867471</v>
      </c>
      <c r="G1223" s="302"/>
      <c r="H1223" s="83"/>
      <c r="I1223" s="53"/>
      <c r="J1223" s="53"/>
      <c r="K1223" s="58"/>
    </row>
    <row r="1224" spans="1:11" s="3" customFormat="1" ht="12" customHeight="1" x14ac:dyDescent="0.2">
      <c r="A1224" s="205"/>
      <c r="B1224" s="12" t="s">
        <v>57</v>
      </c>
      <c r="C1224" s="20" t="s">
        <v>17</v>
      </c>
      <c r="D1224" s="20">
        <v>1</v>
      </c>
      <c r="E1224" s="44">
        <f>VLOOKUP(B1224,'Costo de Materiales'!B$4:D$350,3,FALSE)</f>
        <v>0.479487800786565</v>
      </c>
      <c r="F1224" s="206">
        <f t="shared" si="110"/>
        <v>0.479487800786565</v>
      </c>
      <c r="G1224" s="302"/>
      <c r="H1224" s="83"/>
      <c r="I1224" s="53"/>
      <c r="J1224" s="53"/>
      <c r="K1224" s="58"/>
    </row>
    <row r="1225" spans="1:11" s="3" customFormat="1" ht="12" customHeight="1" x14ac:dyDescent="0.2">
      <c r="A1225" s="205"/>
      <c r="B1225" s="15" t="s">
        <v>336</v>
      </c>
      <c r="C1225" s="20" t="s">
        <v>17</v>
      </c>
      <c r="D1225" s="20">
        <v>12</v>
      </c>
      <c r="E1225" s="44">
        <f>VLOOKUP(B1225,'Costo de Materiales'!B$4:D$350,3,FALSE)</f>
        <v>4.4497990891787589E-3</v>
      </c>
      <c r="F1225" s="206">
        <f t="shared" si="110"/>
        <v>5.3397589070145107E-2</v>
      </c>
      <c r="G1225" s="302"/>
      <c r="H1225" s="83"/>
      <c r="I1225" s="53"/>
      <c r="J1225" s="53"/>
      <c r="K1225" s="58"/>
    </row>
    <row r="1226" spans="1:11" s="3" customFormat="1" ht="12" customHeight="1" x14ac:dyDescent="0.2">
      <c r="A1226" s="205"/>
      <c r="B1226" s="12" t="s">
        <v>83</v>
      </c>
      <c r="C1226" s="20" t="s">
        <v>33</v>
      </c>
      <c r="D1226" s="20">
        <v>0.22</v>
      </c>
      <c r="E1226" s="44">
        <f>VLOOKUP(B1226,'Costo de Materiales'!B$4:D$350,3,FALSE)</f>
        <v>0.84211251580157165</v>
      </c>
      <c r="F1226" s="206">
        <f t="shared" si="110"/>
        <v>0.18526475347634577</v>
      </c>
      <c r="G1226" s="302"/>
      <c r="H1226" s="83"/>
      <c r="I1226" s="53"/>
      <c r="J1226" s="53"/>
      <c r="K1226" s="58"/>
    </row>
    <row r="1227" spans="1:11" s="3" customFormat="1" ht="12" customHeight="1" x14ac:dyDescent="0.2">
      <c r="A1227" s="205"/>
      <c r="B1227" s="15" t="s">
        <v>10</v>
      </c>
      <c r="C1227" s="20" t="s">
        <v>33</v>
      </c>
      <c r="D1227" s="20">
        <v>0.22</v>
      </c>
      <c r="E1227" s="44">
        <f>VLOOKUP(B1227,'Costo de Materiales'!B$4:D$350,3,FALSE)</f>
        <v>0.35088021491732146</v>
      </c>
      <c r="F1227" s="206">
        <f t="shared" si="110"/>
        <v>7.7193647281810718E-2</v>
      </c>
      <c r="G1227" s="302"/>
      <c r="H1227" s="83"/>
      <c r="I1227" s="53"/>
      <c r="J1227" s="53"/>
      <c r="K1227" s="58"/>
    </row>
    <row r="1228" spans="1:11" s="3" customFormat="1" ht="12" customHeight="1" x14ac:dyDescent="0.2">
      <c r="A1228" s="207"/>
      <c r="B1228" s="27" t="s">
        <v>109</v>
      </c>
      <c r="C1228" s="28" t="s">
        <v>11</v>
      </c>
      <c r="D1228" s="80">
        <f>VLOOKUP(B1228,'Costo de Materiales'!B$4:D$350,3,FALSE)</f>
        <v>0.28999999999999998</v>
      </c>
      <c r="E1228" s="45">
        <f>SUM(F1226:F1227)</f>
        <v>0.26245840075815652</v>
      </c>
      <c r="F1228" s="208">
        <f t="shared" si="110"/>
        <v>7.6112936219865382E-2</v>
      </c>
      <c r="G1228" s="302"/>
      <c r="H1228" s="83"/>
      <c r="I1228" s="53"/>
      <c r="J1228" s="53"/>
      <c r="K1228" s="58"/>
    </row>
    <row r="1229" spans="1:11" s="1" customFormat="1" ht="12" customHeight="1" x14ac:dyDescent="0.2">
      <c r="A1229" s="209">
        <v>54</v>
      </c>
      <c r="B1229" s="93" t="s">
        <v>197</v>
      </c>
      <c r="C1229" s="95" t="s">
        <v>17</v>
      </c>
      <c r="D1229" s="95"/>
      <c r="E1229" s="94"/>
      <c r="F1229" s="210">
        <f>SUM(F1230:F1236)</f>
        <v>1.7641734873783494</v>
      </c>
      <c r="G1229" s="303"/>
      <c r="H1229" s="83"/>
      <c r="I1229" s="53"/>
      <c r="J1229" s="53"/>
      <c r="K1229" s="62"/>
    </row>
    <row r="1230" spans="1:11" s="3" customFormat="1" ht="12" customHeight="1" x14ac:dyDescent="0.2">
      <c r="A1230" s="205"/>
      <c r="B1230" s="15" t="s">
        <v>207</v>
      </c>
      <c r="C1230" s="20" t="s">
        <v>17</v>
      </c>
      <c r="D1230" s="20">
        <v>1</v>
      </c>
      <c r="E1230" s="44">
        <f>VLOOKUP(B1230,'Costo de Materiales'!B$4:D$350,3,FALSE)</f>
        <v>0.62859965331494283</v>
      </c>
      <c r="F1230" s="206">
        <f>D1230*E1230</f>
        <v>0.62859965331494283</v>
      </c>
      <c r="G1230" s="302"/>
      <c r="H1230" s="83"/>
      <c r="I1230" s="53"/>
      <c r="J1230" s="53"/>
      <c r="K1230" s="58"/>
    </row>
    <row r="1231" spans="1:11" s="3" customFormat="1" ht="12" customHeight="1" x14ac:dyDescent="0.2">
      <c r="A1231" s="205"/>
      <c r="B1231" s="15" t="s">
        <v>206</v>
      </c>
      <c r="C1231" s="20" t="s">
        <v>17</v>
      </c>
      <c r="D1231" s="20">
        <v>3</v>
      </c>
      <c r="E1231" s="44">
        <f>VLOOKUP(B1231,'Costo de Materiales'!B$4:D$350,3,FALSE)</f>
        <v>8.8039035742891569E-2</v>
      </c>
      <c r="F1231" s="206">
        <f t="shared" ref="F1231:F1236" si="111">D1231*E1231</f>
        <v>0.26411710722867471</v>
      </c>
      <c r="G1231" s="302"/>
      <c r="H1231" s="83"/>
      <c r="I1231" s="53"/>
      <c r="J1231" s="53"/>
      <c r="K1231" s="58"/>
    </row>
    <row r="1232" spans="1:11" s="3" customFormat="1" ht="12" customHeight="1" x14ac:dyDescent="0.2">
      <c r="A1232" s="205"/>
      <c r="B1232" s="12" t="s">
        <v>57</v>
      </c>
      <c r="C1232" s="20" t="s">
        <v>17</v>
      </c>
      <c r="D1232" s="20">
        <v>1</v>
      </c>
      <c r="E1232" s="44">
        <f>VLOOKUP(B1232,'Costo de Materiales'!B$4:D$350,3,FALSE)</f>
        <v>0.479487800786565</v>
      </c>
      <c r="F1232" s="206">
        <f t="shared" si="111"/>
        <v>0.479487800786565</v>
      </c>
      <c r="G1232" s="302"/>
      <c r="H1232" s="83"/>
      <c r="I1232" s="53"/>
      <c r="J1232" s="53"/>
      <c r="K1232" s="58"/>
    </row>
    <row r="1233" spans="1:11" s="3" customFormat="1" ht="12" customHeight="1" x14ac:dyDescent="0.2">
      <c r="A1233" s="205"/>
      <c r="B1233" s="15" t="s">
        <v>336</v>
      </c>
      <c r="C1233" s="20" t="s">
        <v>17</v>
      </c>
      <c r="D1233" s="20">
        <v>12</v>
      </c>
      <c r="E1233" s="44">
        <f>VLOOKUP(B1233,'Costo de Materiales'!B$4:D$350,3,FALSE)</f>
        <v>4.4497990891787589E-3</v>
      </c>
      <c r="F1233" s="206">
        <f t="shared" si="111"/>
        <v>5.3397589070145107E-2</v>
      </c>
      <c r="G1233" s="302"/>
      <c r="H1233" s="83"/>
      <c r="I1233" s="53"/>
      <c r="J1233" s="53"/>
      <c r="K1233" s="58"/>
    </row>
    <row r="1234" spans="1:11" s="3" customFormat="1" ht="12" customHeight="1" x14ac:dyDescent="0.2">
      <c r="A1234" s="205"/>
      <c r="B1234" s="12" t="s">
        <v>83</v>
      </c>
      <c r="C1234" s="20" t="s">
        <v>33</v>
      </c>
      <c r="D1234" s="20">
        <v>0.22</v>
      </c>
      <c r="E1234" s="44">
        <f>VLOOKUP(B1234,'Costo de Materiales'!B$4:D$350,3,FALSE)</f>
        <v>0.84211251580157165</v>
      </c>
      <c r="F1234" s="206">
        <f t="shared" si="111"/>
        <v>0.18526475347634577</v>
      </c>
      <c r="G1234" s="302"/>
      <c r="H1234" s="83"/>
      <c r="I1234" s="53"/>
      <c r="J1234" s="53"/>
      <c r="K1234" s="58"/>
    </row>
    <row r="1235" spans="1:11" s="3" customFormat="1" ht="12" customHeight="1" x14ac:dyDescent="0.2">
      <c r="A1235" s="205"/>
      <c r="B1235" s="15" t="s">
        <v>10</v>
      </c>
      <c r="C1235" s="20" t="s">
        <v>33</v>
      </c>
      <c r="D1235" s="20">
        <v>0.22</v>
      </c>
      <c r="E1235" s="44">
        <f>VLOOKUP(B1235,'Costo de Materiales'!B$4:D$350,3,FALSE)</f>
        <v>0.35088021491732146</v>
      </c>
      <c r="F1235" s="206">
        <f t="shared" si="111"/>
        <v>7.7193647281810718E-2</v>
      </c>
      <c r="G1235" s="302"/>
      <c r="H1235" s="83"/>
      <c r="I1235" s="53"/>
      <c r="J1235" s="53"/>
      <c r="K1235" s="58"/>
    </row>
    <row r="1236" spans="1:11" s="3" customFormat="1" ht="12" customHeight="1" x14ac:dyDescent="0.2">
      <c r="A1236" s="207"/>
      <c r="B1236" s="27" t="s">
        <v>109</v>
      </c>
      <c r="C1236" s="28" t="s">
        <v>11</v>
      </c>
      <c r="D1236" s="80">
        <f>VLOOKUP(B1236,'Costo de Materiales'!B$4:D$350,3,FALSE)</f>
        <v>0.28999999999999998</v>
      </c>
      <c r="E1236" s="45">
        <f>SUM(F1234:F1235)</f>
        <v>0.26245840075815652</v>
      </c>
      <c r="F1236" s="208">
        <f t="shared" si="111"/>
        <v>7.6112936219865382E-2</v>
      </c>
      <c r="G1236" s="307"/>
      <c r="H1236" s="83"/>
      <c r="I1236" s="53"/>
      <c r="J1236" s="53"/>
      <c r="K1236" s="58"/>
    </row>
    <row r="1237" spans="1:11" s="1" customFormat="1" ht="12" customHeight="1" x14ac:dyDescent="0.2">
      <c r="A1237" s="209">
        <v>55</v>
      </c>
      <c r="B1237" s="93" t="s">
        <v>218</v>
      </c>
      <c r="C1237" s="95" t="s">
        <v>17</v>
      </c>
      <c r="D1237" s="95"/>
      <c r="E1237" s="94"/>
      <c r="F1237" s="210">
        <f>SUM(F1238:F1244)</f>
        <v>1.8486839603124963</v>
      </c>
      <c r="G1237" s="302"/>
      <c r="H1237" s="83"/>
      <c r="I1237" s="53"/>
      <c r="J1237" s="53"/>
      <c r="K1237" s="62"/>
    </row>
    <row r="1238" spans="1:11" s="3" customFormat="1" ht="12" customHeight="1" x14ac:dyDescent="0.2">
      <c r="A1238" s="205"/>
      <c r="B1238" s="15" t="s">
        <v>210</v>
      </c>
      <c r="C1238" s="20" t="s">
        <v>17</v>
      </c>
      <c r="D1238" s="20">
        <v>1</v>
      </c>
      <c r="E1238" s="44">
        <f>VLOOKUP(B1238,'Costo de Materiales'!B$4:D$350,3,FALSE)</f>
        <v>0.5587034724422657</v>
      </c>
      <c r="F1238" s="206">
        <f>D1238*E1238</f>
        <v>0.5587034724422657</v>
      </c>
      <c r="G1238" s="302"/>
      <c r="H1238" s="83"/>
      <c r="I1238" s="53"/>
      <c r="J1238" s="53"/>
      <c r="K1238" s="58"/>
    </row>
    <row r="1239" spans="1:11" s="3" customFormat="1" ht="12" customHeight="1" x14ac:dyDescent="0.2">
      <c r="A1239" s="205"/>
      <c r="B1239" s="15" t="s">
        <v>206</v>
      </c>
      <c r="C1239" s="20" t="s">
        <v>17</v>
      </c>
      <c r="D1239" s="20">
        <v>3</v>
      </c>
      <c r="E1239" s="44">
        <f>VLOOKUP(B1239,'Costo de Materiales'!B$4:D$350,3,FALSE)</f>
        <v>8.8039035742891569E-2</v>
      </c>
      <c r="F1239" s="206">
        <f t="shared" ref="F1239:F1244" si="112">D1239*E1239</f>
        <v>0.26411710722867471</v>
      </c>
      <c r="G1239" s="302"/>
      <c r="H1239" s="83"/>
      <c r="I1239" s="53"/>
      <c r="J1239" s="53"/>
      <c r="K1239" s="58"/>
    </row>
    <row r="1240" spans="1:11" s="3" customFormat="1" ht="12" customHeight="1" x14ac:dyDescent="0.2">
      <c r="A1240" s="205"/>
      <c r="B1240" s="12" t="s">
        <v>56</v>
      </c>
      <c r="C1240" s="20" t="s">
        <v>17</v>
      </c>
      <c r="D1240" s="20">
        <v>1</v>
      </c>
      <c r="E1240" s="44">
        <f>VLOOKUP(B1240,'Costo de Materiales'!B$4:D$350,3,FALSE)</f>
        <v>0.60311524214084145</v>
      </c>
      <c r="F1240" s="206">
        <f t="shared" si="112"/>
        <v>0.60311524214084145</v>
      </c>
      <c r="G1240" s="302"/>
      <c r="H1240" s="83"/>
      <c r="I1240" s="53"/>
      <c r="J1240" s="53"/>
      <c r="K1240" s="58"/>
    </row>
    <row r="1241" spans="1:11" s="3" customFormat="1" ht="12" customHeight="1" x14ac:dyDescent="0.2">
      <c r="A1241" s="205"/>
      <c r="B1241" s="15" t="s">
        <v>336</v>
      </c>
      <c r="C1241" s="20" t="s">
        <v>17</v>
      </c>
      <c r="D1241" s="20">
        <v>12</v>
      </c>
      <c r="E1241" s="44">
        <f>VLOOKUP(B1241,'Costo de Materiales'!B$4:D$350,3,FALSE)</f>
        <v>4.4497990891787589E-3</v>
      </c>
      <c r="F1241" s="206">
        <f t="shared" si="112"/>
        <v>5.3397589070145107E-2</v>
      </c>
      <c r="G1241" s="302"/>
      <c r="H1241" s="83"/>
      <c r="I1241" s="53"/>
      <c r="J1241" s="53"/>
      <c r="K1241" s="58"/>
    </row>
    <row r="1242" spans="1:11" s="3" customFormat="1" ht="12" customHeight="1" x14ac:dyDescent="0.2">
      <c r="A1242" s="205"/>
      <c r="B1242" s="12" t="s">
        <v>83</v>
      </c>
      <c r="C1242" s="20" t="s">
        <v>33</v>
      </c>
      <c r="D1242" s="20">
        <v>0.24</v>
      </c>
      <c r="E1242" s="44">
        <f>VLOOKUP(B1242,'Costo de Materiales'!B$4:D$350,3,FALSE)</f>
        <v>0.84211251580157165</v>
      </c>
      <c r="F1242" s="206">
        <f t="shared" si="112"/>
        <v>0.2021070037923772</v>
      </c>
      <c r="G1242" s="302"/>
      <c r="H1242" s="83"/>
      <c r="I1242" s="53"/>
      <c r="J1242" s="53"/>
      <c r="K1242" s="58"/>
    </row>
    <row r="1243" spans="1:11" s="3" customFormat="1" ht="12" customHeight="1" x14ac:dyDescent="0.2">
      <c r="A1243" s="205"/>
      <c r="B1243" s="15" t="s">
        <v>10</v>
      </c>
      <c r="C1243" s="20" t="s">
        <v>33</v>
      </c>
      <c r="D1243" s="20">
        <v>0.24</v>
      </c>
      <c r="E1243" s="44">
        <f>VLOOKUP(B1243,'Costo de Materiales'!B$4:D$350,3,FALSE)</f>
        <v>0.35088021491732146</v>
      </c>
      <c r="F1243" s="206">
        <f t="shared" si="112"/>
        <v>8.4211251580157145E-2</v>
      </c>
      <c r="G1243" s="302"/>
      <c r="H1243" s="83"/>
      <c r="I1243" s="53"/>
      <c r="J1243" s="53"/>
      <c r="K1243" s="58"/>
    </row>
    <row r="1244" spans="1:11" s="3" customFormat="1" ht="12" customHeight="1" x14ac:dyDescent="0.2">
      <c r="A1244" s="207"/>
      <c r="B1244" s="27" t="s">
        <v>109</v>
      </c>
      <c r="C1244" s="28" t="s">
        <v>11</v>
      </c>
      <c r="D1244" s="80">
        <f>VLOOKUP(B1244,'Costo de Materiales'!B$4:D$350,3,FALSE)</f>
        <v>0.28999999999999998</v>
      </c>
      <c r="E1244" s="45">
        <f>SUM(F1242:F1243)</f>
        <v>0.28631825537253436</v>
      </c>
      <c r="F1244" s="208">
        <f t="shared" si="112"/>
        <v>8.3032294058034958E-2</v>
      </c>
      <c r="G1244" s="302"/>
      <c r="H1244" s="83"/>
      <c r="I1244" s="53"/>
      <c r="J1244" s="53"/>
      <c r="K1244" s="58"/>
    </row>
    <row r="1245" spans="1:11" s="1" customFormat="1" ht="12" customHeight="1" x14ac:dyDescent="0.2">
      <c r="A1245" s="209">
        <v>56</v>
      </c>
      <c r="B1245" s="93" t="s">
        <v>198</v>
      </c>
      <c r="C1245" s="95" t="s">
        <v>17</v>
      </c>
      <c r="D1245" s="95"/>
      <c r="E1245" s="94"/>
      <c r="F1245" s="210">
        <f>SUM(F1246:F1252)</f>
        <v>1.8952814142276142</v>
      </c>
      <c r="G1245" s="303"/>
      <c r="H1245" s="83"/>
      <c r="I1245" s="53"/>
      <c r="J1245" s="53"/>
      <c r="K1245" s="62"/>
    </row>
    <row r="1246" spans="1:11" s="3" customFormat="1" ht="12" customHeight="1" x14ac:dyDescent="0.2">
      <c r="A1246" s="205"/>
      <c r="B1246" s="15" t="s">
        <v>205</v>
      </c>
      <c r="C1246" s="20" t="s">
        <v>17</v>
      </c>
      <c r="D1246" s="20">
        <v>1</v>
      </c>
      <c r="E1246" s="44">
        <f>VLOOKUP(B1246,'Costo de Materiales'!B$4:D$350,3,FALSE)</f>
        <v>0.60530092635738375</v>
      </c>
      <c r="F1246" s="206">
        <f>D1246*E1246</f>
        <v>0.60530092635738375</v>
      </c>
      <c r="G1246" s="302"/>
      <c r="H1246" s="83"/>
      <c r="I1246" s="53"/>
      <c r="J1246" s="53"/>
      <c r="K1246" s="58"/>
    </row>
    <row r="1247" spans="1:11" s="3" customFormat="1" ht="12" customHeight="1" x14ac:dyDescent="0.2">
      <c r="A1247" s="205"/>
      <c r="B1247" s="15" t="s">
        <v>206</v>
      </c>
      <c r="C1247" s="20" t="s">
        <v>17</v>
      </c>
      <c r="D1247" s="20">
        <v>3</v>
      </c>
      <c r="E1247" s="44">
        <f>VLOOKUP(B1247,'Costo de Materiales'!B$4:D$350,3,FALSE)</f>
        <v>8.8039035742891569E-2</v>
      </c>
      <c r="F1247" s="206">
        <f t="shared" ref="F1247:F1252" si="113">D1247*E1247</f>
        <v>0.26411710722867471</v>
      </c>
      <c r="G1247" s="302"/>
      <c r="H1247" s="83"/>
      <c r="I1247" s="53"/>
      <c r="J1247" s="53"/>
      <c r="K1247" s="58"/>
    </row>
    <row r="1248" spans="1:11" s="3" customFormat="1" ht="12" customHeight="1" x14ac:dyDescent="0.2">
      <c r="A1248" s="205"/>
      <c r="B1248" s="12" t="s">
        <v>56</v>
      </c>
      <c r="C1248" s="20" t="s">
        <v>17</v>
      </c>
      <c r="D1248" s="20">
        <v>1</v>
      </c>
      <c r="E1248" s="44">
        <f>VLOOKUP(B1248,'Costo de Materiales'!B$4:D$350,3,FALSE)</f>
        <v>0.60311524214084145</v>
      </c>
      <c r="F1248" s="206">
        <f t="shared" si="113"/>
        <v>0.60311524214084145</v>
      </c>
      <c r="G1248" s="302"/>
      <c r="H1248" s="83"/>
      <c r="I1248" s="53"/>
      <c r="J1248" s="53"/>
      <c r="K1248" s="58"/>
    </row>
    <row r="1249" spans="1:11" s="3" customFormat="1" ht="12" customHeight="1" x14ac:dyDescent="0.2">
      <c r="A1249" s="205"/>
      <c r="B1249" s="15" t="s">
        <v>336</v>
      </c>
      <c r="C1249" s="20" t="s">
        <v>17</v>
      </c>
      <c r="D1249" s="20">
        <v>12</v>
      </c>
      <c r="E1249" s="44">
        <f>VLOOKUP(B1249,'Costo de Materiales'!B$4:D$350,3,FALSE)</f>
        <v>4.4497990891787589E-3</v>
      </c>
      <c r="F1249" s="206">
        <f t="shared" si="113"/>
        <v>5.3397589070145107E-2</v>
      </c>
      <c r="G1249" s="302"/>
      <c r="H1249" s="83"/>
      <c r="I1249" s="53"/>
      <c r="J1249" s="53"/>
      <c r="K1249" s="58"/>
    </row>
    <row r="1250" spans="1:11" s="3" customFormat="1" ht="12" customHeight="1" x14ac:dyDescent="0.2">
      <c r="A1250" s="205"/>
      <c r="B1250" s="12" t="s">
        <v>83</v>
      </c>
      <c r="C1250" s="20" t="s">
        <v>33</v>
      </c>
      <c r="D1250" s="20">
        <v>0.24</v>
      </c>
      <c r="E1250" s="44">
        <f>VLOOKUP(B1250,'Costo de Materiales'!B$4:D$350,3,FALSE)</f>
        <v>0.84211251580157165</v>
      </c>
      <c r="F1250" s="206">
        <f t="shared" si="113"/>
        <v>0.2021070037923772</v>
      </c>
      <c r="G1250" s="302"/>
      <c r="H1250" s="83"/>
      <c r="I1250" s="53"/>
      <c r="J1250" s="53"/>
      <c r="K1250" s="58"/>
    </row>
    <row r="1251" spans="1:11" s="3" customFormat="1" ht="12" customHeight="1" x14ac:dyDescent="0.2">
      <c r="A1251" s="205"/>
      <c r="B1251" s="15" t="s">
        <v>10</v>
      </c>
      <c r="C1251" s="20" t="s">
        <v>33</v>
      </c>
      <c r="D1251" s="20">
        <v>0.24</v>
      </c>
      <c r="E1251" s="44">
        <f>VLOOKUP(B1251,'Costo de Materiales'!B$4:D$350,3,FALSE)</f>
        <v>0.35088021491732146</v>
      </c>
      <c r="F1251" s="206">
        <f t="shared" si="113"/>
        <v>8.4211251580157145E-2</v>
      </c>
      <c r="G1251" s="302"/>
      <c r="H1251" s="83"/>
      <c r="I1251" s="53"/>
      <c r="J1251" s="53"/>
      <c r="K1251" s="58"/>
    </row>
    <row r="1252" spans="1:11" s="3" customFormat="1" ht="12" customHeight="1" x14ac:dyDescent="0.2">
      <c r="A1252" s="207"/>
      <c r="B1252" s="27" t="s">
        <v>109</v>
      </c>
      <c r="C1252" s="28" t="s">
        <v>11</v>
      </c>
      <c r="D1252" s="80">
        <f>VLOOKUP(B1252,'Costo de Materiales'!B$4:D$350,3,FALSE)</f>
        <v>0.28999999999999998</v>
      </c>
      <c r="E1252" s="45">
        <f>SUM(F1250:F1251)</f>
        <v>0.28631825537253436</v>
      </c>
      <c r="F1252" s="208">
        <f t="shared" si="113"/>
        <v>8.3032294058034958E-2</v>
      </c>
      <c r="G1252" s="307"/>
      <c r="H1252" s="83"/>
      <c r="I1252" s="53"/>
      <c r="J1252" s="53"/>
      <c r="K1252" s="58"/>
    </row>
    <row r="1253" spans="1:11" s="1" customFormat="1" ht="12" customHeight="1" x14ac:dyDescent="0.2">
      <c r="A1253" s="209">
        <v>57</v>
      </c>
      <c r="B1253" s="93" t="s">
        <v>199</v>
      </c>
      <c r="C1253" s="95" t="s">
        <v>17</v>
      </c>
      <c r="D1253" s="95"/>
      <c r="E1253" s="94"/>
      <c r="F1253" s="210">
        <f>SUM(F1254:F1260)</f>
        <v>1.9046009050106378</v>
      </c>
      <c r="G1253" s="302"/>
      <c r="H1253" s="83"/>
      <c r="I1253" s="53"/>
      <c r="J1253" s="53"/>
      <c r="K1253" s="62"/>
    </row>
    <row r="1254" spans="1:11" s="3" customFormat="1" ht="12" customHeight="1" x14ac:dyDescent="0.2">
      <c r="A1254" s="205"/>
      <c r="B1254" s="15" t="s">
        <v>103</v>
      </c>
      <c r="C1254" s="20" t="s">
        <v>17</v>
      </c>
      <c r="D1254" s="20">
        <v>1</v>
      </c>
      <c r="E1254" s="44">
        <f>VLOOKUP(B1254,'Costo de Materiales'!B$4:D$350,3,FALSE)</f>
        <v>0.61462041714040738</v>
      </c>
      <c r="F1254" s="206">
        <f>D1254*E1254</f>
        <v>0.61462041714040738</v>
      </c>
      <c r="G1254" s="302"/>
      <c r="H1254" s="83"/>
      <c r="I1254" s="53"/>
      <c r="J1254" s="53"/>
      <c r="K1254" s="58"/>
    </row>
    <row r="1255" spans="1:11" s="3" customFormat="1" ht="12" customHeight="1" x14ac:dyDescent="0.2">
      <c r="A1255" s="205"/>
      <c r="B1255" s="15" t="s">
        <v>206</v>
      </c>
      <c r="C1255" s="20" t="s">
        <v>17</v>
      </c>
      <c r="D1255" s="20">
        <v>3</v>
      </c>
      <c r="E1255" s="44">
        <f>VLOOKUP(B1255,'Costo de Materiales'!B$4:D$350,3,FALSE)</f>
        <v>8.8039035742891569E-2</v>
      </c>
      <c r="F1255" s="206">
        <f t="shared" ref="F1255:F1260" si="114">D1255*E1255</f>
        <v>0.26411710722867471</v>
      </c>
      <c r="G1255" s="302"/>
      <c r="H1255" s="83"/>
      <c r="I1255" s="53"/>
      <c r="J1255" s="53"/>
      <c r="K1255" s="58"/>
    </row>
    <row r="1256" spans="1:11" s="3" customFormat="1" ht="12" customHeight="1" x14ac:dyDescent="0.2">
      <c r="A1256" s="205"/>
      <c r="B1256" s="12" t="s">
        <v>56</v>
      </c>
      <c r="C1256" s="20" t="s">
        <v>17</v>
      </c>
      <c r="D1256" s="20">
        <v>1</v>
      </c>
      <c r="E1256" s="44">
        <f>VLOOKUP(B1256,'Costo de Materiales'!B$4:D$350,3,FALSE)</f>
        <v>0.60311524214084145</v>
      </c>
      <c r="F1256" s="206">
        <f t="shared" si="114"/>
        <v>0.60311524214084145</v>
      </c>
      <c r="G1256" s="302"/>
      <c r="H1256" s="83"/>
      <c r="I1256" s="53"/>
      <c r="J1256" s="53"/>
      <c r="K1256" s="58"/>
    </row>
    <row r="1257" spans="1:11" s="3" customFormat="1" ht="12" customHeight="1" x14ac:dyDescent="0.2">
      <c r="A1257" s="205"/>
      <c r="B1257" s="15" t="s">
        <v>336</v>
      </c>
      <c r="C1257" s="20" t="s">
        <v>17</v>
      </c>
      <c r="D1257" s="20">
        <v>12</v>
      </c>
      <c r="E1257" s="44">
        <f>VLOOKUP(B1257,'Costo de Materiales'!B$4:D$350,3,FALSE)</f>
        <v>4.4497990891787589E-3</v>
      </c>
      <c r="F1257" s="206">
        <f t="shared" si="114"/>
        <v>5.3397589070145107E-2</v>
      </c>
      <c r="G1257" s="302"/>
      <c r="H1257" s="83"/>
      <c r="I1257" s="53"/>
      <c r="J1257" s="53"/>
      <c r="K1257" s="58"/>
    </row>
    <row r="1258" spans="1:11" s="3" customFormat="1" ht="12" customHeight="1" x14ac:dyDescent="0.2">
      <c r="A1258" s="205"/>
      <c r="B1258" s="12" t="s">
        <v>83</v>
      </c>
      <c r="C1258" s="20" t="s">
        <v>33</v>
      </c>
      <c r="D1258" s="20">
        <v>0.24</v>
      </c>
      <c r="E1258" s="44">
        <f>VLOOKUP(B1258,'Costo de Materiales'!B$4:D$350,3,FALSE)</f>
        <v>0.84211251580157165</v>
      </c>
      <c r="F1258" s="206">
        <f t="shared" si="114"/>
        <v>0.2021070037923772</v>
      </c>
      <c r="G1258" s="302"/>
      <c r="H1258" s="83"/>
      <c r="I1258" s="53"/>
      <c r="J1258" s="53"/>
      <c r="K1258" s="58"/>
    </row>
    <row r="1259" spans="1:11" s="3" customFormat="1" ht="12" customHeight="1" x14ac:dyDescent="0.2">
      <c r="A1259" s="205"/>
      <c r="B1259" s="15" t="s">
        <v>10</v>
      </c>
      <c r="C1259" s="20" t="s">
        <v>33</v>
      </c>
      <c r="D1259" s="20">
        <v>0.24</v>
      </c>
      <c r="E1259" s="44">
        <f>VLOOKUP(B1259,'Costo de Materiales'!B$4:D$350,3,FALSE)</f>
        <v>0.35088021491732146</v>
      </c>
      <c r="F1259" s="206">
        <f t="shared" si="114"/>
        <v>8.4211251580157145E-2</v>
      </c>
      <c r="G1259" s="302"/>
      <c r="H1259" s="83"/>
      <c r="I1259" s="53"/>
      <c r="J1259" s="53"/>
      <c r="K1259" s="58"/>
    </row>
    <row r="1260" spans="1:11" s="3" customFormat="1" ht="12" customHeight="1" x14ac:dyDescent="0.2">
      <c r="A1260" s="207"/>
      <c r="B1260" s="27" t="s">
        <v>109</v>
      </c>
      <c r="C1260" s="28" t="s">
        <v>11</v>
      </c>
      <c r="D1260" s="80">
        <f>VLOOKUP(B1260,'Costo de Materiales'!B$4:D$350,3,FALSE)</f>
        <v>0.28999999999999998</v>
      </c>
      <c r="E1260" s="45">
        <f>SUM(F1258:F1259)</f>
        <v>0.28631825537253436</v>
      </c>
      <c r="F1260" s="208">
        <f t="shared" si="114"/>
        <v>8.3032294058034958E-2</v>
      </c>
      <c r="G1260" s="302"/>
      <c r="H1260" s="83"/>
      <c r="I1260" s="53"/>
      <c r="J1260" s="53"/>
      <c r="K1260" s="58"/>
    </row>
    <row r="1261" spans="1:11" s="1" customFormat="1" ht="12" customHeight="1" x14ac:dyDescent="0.2">
      <c r="A1261" s="209">
        <v>58</v>
      </c>
      <c r="B1261" s="93" t="s">
        <v>200</v>
      </c>
      <c r="C1261" s="95" t="s">
        <v>17</v>
      </c>
      <c r="D1261" s="95"/>
      <c r="E1261" s="94"/>
      <c r="F1261" s="210">
        <f>SUM(F1262:F1268)</f>
        <v>1.9185801411851733</v>
      </c>
      <c r="G1261" s="303"/>
      <c r="H1261" s="83"/>
      <c r="I1261" s="53"/>
      <c r="J1261" s="53"/>
      <c r="K1261" s="62"/>
    </row>
    <row r="1262" spans="1:11" s="3" customFormat="1" ht="12" customHeight="1" x14ac:dyDescent="0.2">
      <c r="A1262" s="205"/>
      <c r="B1262" s="15" t="s">
        <v>207</v>
      </c>
      <c r="C1262" s="20" t="s">
        <v>17</v>
      </c>
      <c r="D1262" s="20">
        <v>1</v>
      </c>
      <c r="E1262" s="44">
        <f>VLOOKUP(B1262,'Costo de Materiales'!B$4:D$350,3,FALSE)</f>
        <v>0.62859965331494283</v>
      </c>
      <c r="F1262" s="206">
        <f>D1262*E1262</f>
        <v>0.62859965331494283</v>
      </c>
      <c r="G1262" s="302"/>
      <c r="H1262" s="83"/>
      <c r="I1262" s="53"/>
      <c r="J1262" s="53"/>
      <c r="K1262" s="58"/>
    </row>
    <row r="1263" spans="1:11" s="3" customFormat="1" ht="12" customHeight="1" x14ac:dyDescent="0.2">
      <c r="A1263" s="205"/>
      <c r="B1263" s="15" t="s">
        <v>206</v>
      </c>
      <c r="C1263" s="20" t="s">
        <v>17</v>
      </c>
      <c r="D1263" s="20">
        <v>3</v>
      </c>
      <c r="E1263" s="44">
        <f>VLOOKUP(B1263,'Costo de Materiales'!B$4:D$350,3,FALSE)</f>
        <v>8.8039035742891569E-2</v>
      </c>
      <c r="F1263" s="206">
        <f t="shared" ref="F1263:F1268" si="115">D1263*E1263</f>
        <v>0.26411710722867471</v>
      </c>
      <c r="G1263" s="302"/>
      <c r="H1263" s="83"/>
      <c r="I1263" s="53"/>
      <c r="J1263" s="53"/>
      <c r="K1263" s="58"/>
    </row>
    <row r="1264" spans="1:11" s="3" customFormat="1" ht="12" customHeight="1" x14ac:dyDescent="0.2">
      <c r="A1264" s="205"/>
      <c r="B1264" s="12" t="s">
        <v>56</v>
      </c>
      <c r="C1264" s="20" t="s">
        <v>17</v>
      </c>
      <c r="D1264" s="20">
        <v>1</v>
      </c>
      <c r="E1264" s="44">
        <f>VLOOKUP(B1264,'Costo de Materiales'!B$4:D$350,3,FALSE)</f>
        <v>0.60311524214084145</v>
      </c>
      <c r="F1264" s="206">
        <f t="shared" si="115"/>
        <v>0.60311524214084145</v>
      </c>
      <c r="G1264" s="302"/>
      <c r="H1264" s="83"/>
      <c r="I1264" s="53"/>
      <c r="J1264" s="53"/>
      <c r="K1264" s="58"/>
    </row>
    <row r="1265" spans="1:11" s="3" customFormat="1" ht="12" customHeight="1" x14ac:dyDescent="0.2">
      <c r="A1265" s="205"/>
      <c r="B1265" s="15" t="s">
        <v>336</v>
      </c>
      <c r="C1265" s="20" t="s">
        <v>17</v>
      </c>
      <c r="D1265" s="20">
        <v>12</v>
      </c>
      <c r="E1265" s="44">
        <f>VLOOKUP(B1265,'Costo de Materiales'!B$4:D$350,3,FALSE)</f>
        <v>4.4497990891787589E-3</v>
      </c>
      <c r="F1265" s="206">
        <f t="shared" si="115"/>
        <v>5.3397589070145107E-2</v>
      </c>
      <c r="G1265" s="302"/>
      <c r="H1265" s="83"/>
      <c r="I1265" s="53"/>
      <c r="J1265" s="53"/>
      <c r="K1265" s="58"/>
    </row>
    <row r="1266" spans="1:11" s="3" customFormat="1" ht="12" customHeight="1" x14ac:dyDescent="0.2">
      <c r="A1266" s="205"/>
      <c r="B1266" s="12" t="s">
        <v>83</v>
      </c>
      <c r="C1266" s="20" t="s">
        <v>33</v>
      </c>
      <c r="D1266" s="20">
        <v>0.24</v>
      </c>
      <c r="E1266" s="44">
        <f>VLOOKUP(B1266,'Costo de Materiales'!B$4:D$350,3,FALSE)</f>
        <v>0.84211251580157165</v>
      </c>
      <c r="F1266" s="206">
        <f t="shared" si="115"/>
        <v>0.2021070037923772</v>
      </c>
      <c r="G1266" s="302"/>
      <c r="H1266" s="83"/>
      <c r="I1266" s="53"/>
      <c r="J1266" s="53"/>
      <c r="K1266" s="58"/>
    </row>
    <row r="1267" spans="1:11" s="3" customFormat="1" ht="12" customHeight="1" x14ac:dyDescent="0.2">
      <c r="A1267" s="205"/>
      <c r="B1267" s="15" t="s">
        <v>10</v>
      </c>
      <c r="C1267" s="20" t="s">
        <v>33</v>
      </c>
      <c r="D1267" s="20">
        <v>0.24</v>
      </c>
      <c r="E1267" s="44">
        <f>VLOOKUP(B1267,'Costo de Materiales'!B$4:D$350,3,FALSE)</f>
        <v>0.35088021491732146</v>
      </c>
      <c r="F1267" s="206">
        <f t="shared" si="115"/>
        <v>8.4211251580157145E-2</v>
      </c>
      <c r="G1267" s="302"/>
      <c r="H1267" s="83"/>
      <c r="I1267" s="53"/>
      <c r="J1267" s="53"/>
      <c r="K1267" s="58"/>
    </row>
    <row r="1268" spans="1:11" s="3" customFormat="1" ht="12" customHeight="1" x14ac:dyDescent="0.2">
      <c r="A1268" s="207"/>
      <c r="B1268" s="27" t="s">
        <v>109</v>
      </c>
      <c r="C1268" s="28" t="s">
        <v>11</v>
      </c>
      <c r="D1268" s="80">
        <f>VLOOKUP(B1268,'Costo de Materiales'!B$4:D$350,3,FALSE)</f>
        <v>0.28999999999999998</v>
      </c>
      <c r="E1268" s="45">
        <f>SUM(F1266:F1267)</f>
        <v>0.28631825537253436</v>
      </c>
      <c r="F1268" s="208">
        <f t="shared" si="115"/>
        <v>8.3032294058034958E-2</v>
      </c>
      <c r="G1268" s="307"/>
      <c r="H1268" s="83"/>
      <c r="I1268" s="53"/>
      <c r="J1268" s="53"/>
      <c r="K1268" s="58"/>
    </row>
    <row r="1269" spans="1:11" s="1" customFormat="1" ht="12" customHeight="1" x14ac:dyDescent="0.2">
      <c r="A1269" s="209">
        <v>59</v>
      </c>
      <c r="B1269" s="93" t="s">
        <v>667</v>
      </c>
      <c r="C1269" s="95" t="s">
        <v>17</v>
      </c>
      <c r="D1269" s="95"/>
      <c r="E1269" s="94"/>
      <c r="F1269" s="210">
        <f>SUM(F1270:F1276)</f>
        <v>2.7660187465533879</v>
      </c>
      <c r="G1269" s="302"/>
      <c r="H1269" s="83"/>
      <c r="I1269" s="53"/>
      <c r="J1269" s="53"/>
      <c r="K1269" s="62"/>
    </row>
    <row r="1270" spans="1:11" s="3" customFormat="1" ht="12" customHeight="1" x14ac:dyDescent="0.2">
      <c r="A1270" s="205"/>
      <c r="B1270" s="15" t="s">
        <v>296</v>
      </c>
      <c r="C1270" s="20" t="s">
        <v>17</v>
      </c>
      <c r="D1270" s="20">
        <v>1</v>
      </c>
      <c r="E1270" s="44">
        <f>VLOOKUP(B1270,'Costo de Materiales'!B$4:D$350,3,FALSE)</f>
        <v>1.6304449124899814</v>
      </c>
      <c r="F1270" s="206">
        <f t="shared" ref="F1270:F1276" si="116">D1270*E1270</f>
        <v>1.6304449124899814</v>
      </c>
      <c r="G1270" s="302"/>
      <c r="H1270" s="83"/>
      <c r="I1270" s="53"/>
      <c r="J1270" s="53"/>
      <c r="K1270" s="58"/>
    </row>
    <row r="1271" spans="1:11" s="3" customFormat="1" ht="12" customHeight="1" x14ac:dyDescent="0.2">
      <c r="A1271" s="205"/>
      <c r="B1271" s="15" t="s">
        <v>206</v>
      </c>
      <c r="C1271" s="20" t="s">
        <v>17</v>
      </c>
      <c r="D1271" s="20">
        <v>3</v>
      </c>
      <c r="E1271" s="44">
        <f>VLOOKUP(B1271,'Costo de Materiales'!B$4:D$350,3,FALSE)</f>
        <v>8.8039035742891569E-2</v>
      </c>
      <c r="F1271" s="206">
        <f t="shared" si="116"/>
        <v>0.26411710722867471</v>
      </c>
      <c r="G1271" s="302"/>
      <c r="H1271" s="83"/>
      <c r="I1271" s="53"/>
      <c r="J1271" s="53"/>
      <c r="K1271" s="58"/>
    </row>
    <row r="1272" spans="1:11" s="3" customFormat="1" ht="12" customHeight="1" x14ac:dyDescent="0.2">
      <c r="A1272" s="205"/>
      <c r="B1272" s="12" t="s">
        <v>57</v>
      </c>
      <c r="C1272" s="20" t="s">
        <v>17</v>
      </c>
      <c r="D1272" s="20">
        <v>1</v>
      </c>
      <c r="E1272" s="44">
        <f>VLOOKUP(B1272,'Costo de Materiales'!B$4:D$350,3,FALSE)</f>
        <v>0.479487800786565</v>
      </c>
      <c r="F1272" s="206">
        <f t="shared" si="116"/>
        <v>0.479487800786565</v>
      </c>
      <c r="G1272" s="302"/>
      <c r="H1272" s="83"/>
      <c r="I1272" s="53"/>
      <c r="J1272" s="53"/>
      <c r="K1272" s="58"/>
    </row>
    <row r="1273" spans="1:11" s="3" customFormat="1" ht="12" customHeight="1" x14ac:dyDescent="0.2">
      <c r="A1273" s="205"/>
      <c r="B1273" s="15" t="s">
        <v>336</v>
      </c>
      <c r="C1273" s="20" t="s">
        <v>17</v>
      </c>
      <c r="D1273" s="20">
        <v>12</v>
      </c>
      <c r="E1273" s="44">
        <f>VLOOKUP(B1273,'Costo de Materiales'!B$4:D$350,3,FALSE)</f>
        <v>4.4497990891787589E-3</v>
      </c>
      <c r="F1273" s="206">
        <f t="shared" si="116"/>
        <v>5.3397589070145107E-2</v>
      </c>
      <c r="G1273" s="302"/>
      <c r="H1273" s="83"/>
      <c r="I1273" s="53"/>
      <c r="J1273" s="53"/>
      <c r="K1273" s="58"/>
    </row>
    <row r="1274" spans="1:11" s="3" customFormat="1" ht="12" customHeight="1" x14ac:dyDescent="0.2">
      <c r="A1274" s="205"/>
      <c r="B1274" s="12" t="s">
        <v>83</v>
      </c>
      <c r="C1274" s="20" t="s">
        <v>33</v>
      </c>
      <c r="D1274" s="20">
        <v>0.22</v>
      </c>
      <c r="E1274" s="44">
        <f>VLOOKUP(B1274,'Costo de Materiales'!B$4:D$350,3,FALSE)</f>
        <v>0.84211251580157165</v>
      </c>
      <c r="F1274" s="206">
        <f t="shared" si="116"/>
        <v>0.18526475347634577</v>
      </c>
      <c r="G1274" s="302"/>
      <c r="H1274" s="83"/>
      <c r="I1274" s="53"/>
      <c r="J1274" s="53"/>
      <c r="K1274" s="58"/>
    </row>
    <row r="1275" spans="1:11" s="3" customFormat="1" ht="12" customHeight="1" x14ac:dyDescent="0.2">
      <c r="A1275" s="205"/>
      <c r="B1275" s="15" t="s">
        <v>10</v>
      </c>
      <c r="C1275" s="20" t="s">
        <v>33</v>
      </c>
      <c r="D1275" s="20">
        <v>0.22</v>
      </c>
      <c r="E1275" s="44">
        <f>VLOOKUP(B1275,'Costo de Materiales'!B$4:D$350,3,FALSE)</f>
        <v>0.35088021491732146</v>
      </c>
      <c r="F1275" s="206">
        <f t="shared" si="116"/>
        <v>7.7193647281810718E-2</v>
      </c>
      <c r="G1275" s="302"/>
      <c r="H1275" s="83"/>
      <c r="I1275" s="53"/>
      <c r="J1275" s="53"/>
      <c r="K1275" s="58"/>
    </row>
    <row r="1276" spans="1:11" s="3" customFormat="1" ht="12" customHeight="1" x14ac:dyDescent="0.2">
      <c r="A1276" s="207"/>
      <c r="B1276" s="27" t="s">
        <v>109</v>
      </c>
      <c r="C1276" s="28" t="s">
        <v>11</v>
      </c>
      <c r="D1276" s="80">
        <f>VLOOKUP(B1276,'Costo de Materiales'!B$4:D$350,3,FALSE)</f>
        <v>0.28999999999999998</v>
      </c>
      <c r="E1276" s="45">
        <f>SUM(F1274:F1275)</f>
        <v>0.26245840075815652</v>
      </c>
      <c r="F1276" s="208">
        <f t="shared" si="116"/>
        <v>7.6112936219865382E-2</v>
      </c>
      <c r="G1276" s="302"/>
      <c r="H1276" s="83"/>
      <c r="I1276" s="53"/>
      <c r="J1276" s="53"/>
      <c r="K1276" s="58"/>
    </row>
    <row r="1277" spans="1:11" s="1" customFormat="1" ht="12" customHeight="1" x14ac:dyDescent="0.2">
      <c r="A1277" s="209">
        <v>60</v>
      </c>
      <c r="B1277" s="93" t="s">
        <v>666</v>
      </c>
      <c r="C1277" s="95" t="s">
        <v>17</v>
      </c>
      <c r="D1277" s="95"/>
      <c r="E1277" s="94"/>
      <c r="F1277" s="210">
        <f>SUM(F1278:F1284)</f>
        <v>2.9204254003602119</v>
      </c>
      <c r="G1277" s="303"/>
      <c r="H1277" s="83"/>
      <c r="I1277" s="53"/>
      <c r="J1277" s="53"/>
      <c r="K1277" s="62"/>
    </row>
    <row r="1278" spans="1:11" s="3" customFormat="1" ht="12" customHeight="1" x14ac:dyDescent="0.2">
      <c r="A1278" s="205"/>
      <c r="B1278" s="15" t="s">
        <v>296</v>
      </c>
      <c r="C1278" s="20" t="s">
        <v>17</v>
      </c>
      <c r="D1278" s="20">
        <v>1</v>
      </c>
      <c r="E1278" s="44">
        <f>VLOOKUP(B1278,'Costo de Materiales'!B$4:D$350,3,FALSE)</f>
        <v>1.6304449124899814</v>
      </c>
      <c r="F1278" s="206">
        <f t="shared" ref="F1278:F1284" si="117">D1278*E1278</f>
        <v>1.6304449124899814</v>
      </c>
      <c r="G1278" s="302"/>
      <c r="H1278" s="83"/>
      <c r="I1278" s="53"/>
      <c r="J1278" s="53"/>
      <c r="K1278" s="58"/>
    </row>
    <row r="1279" spans="1:11" s="3" customFormat="1" ht="12" customHeight="1" x14ac:dyDescent="0.2">
      <c r="A1279" s="205"/>
      <c r="B1279" s="15" t="s">
        <v>206</v>
      </c>
      <c r="C1279" s="20" t="s">
        <v>17</v>
      </c>
      <c r="D1279" s="20">
        <v>3</v>
      </c>
      <c r="E1279" s="44">
        <f>VLOOKUP(B1279,'Costo de Materiales'!B$4:D$350,3,FALSE)</f>
        <v>8.8039035742891569E-2</v>
      </c>
      <c r="F1279" s="206">
        <f t="shared" si="117"/>
        <v>0.26411710722867471</v>
      </c>
      <c r="G1279" s="302"/>
      <c r="H1279" s="83"/>
      <c r="I1279" s="53"/>
      <c r="J1279" s="53"/>
      <c r="K1279" s="58"/>
    </row>
    <row r="1280" spans="1:11" s="3" customFormat="1" ht="12" customHeight="1" x14ac:dyDescent="0.2">
      <c r="A1280" s="205"/>
      <c r="B1280" s="12" t="s">
        <v>56</v>
      </c>
      <c r="C1280" s="20" t="s">
        <v>17</v>
      </c>
      <c r="D1280" s="20">
        <v>1</v>
      </c>
      <c r="E1280" s="44">
        <f>VLOOKUP(B1280,'Costo de Materiales'!B$4:D$350,3,FALSE)</f>
        <v>0.60311524214084145</v>
      </c>
      <c r="F1280" s="206">
        <f t="shared" si="117"/>
        <v>0.60311524214084145</v>
      </c>
      <c r="G1280" s="302"/>
      <c r="H1280" s="83"/>
      <c r="I1280" s="53"/>
      <c r="J1280" s="53"/>
      <c r="K1280" s="58"/>
    </row>
    <row r="1281" spans="1:11" s="3" customFormat="1" ht="12" customHeight="1" x14ac:dyDescent="0.2">
      <c r="A1281" s="205"/>
      <c r="B1281" s="15" t="s">
        <v>336</v>
      </c>
      <c r="C1281" s="20" t="s">
        <v>17</v>
      </c>
      <c r="D1281" s="20">
        <v>12</v>
      </c>
      <c r="E1281" s="44">
        <f>VLOOKUP(B1281,'Costo de Materiales'!B$4:D$350,3,FALSE)</f>
        <v>4.4497990891787589E-3</v>
      </c>
      <c r="F1281" s="206">
        <f t="shared" si="117"/>
        <v>5.3397589070145107E-2</v>
      </c>
      <c r="G1281" s="302"/>
      <c r="H1281" s="83"/>
      <c r="I1281" s="53"/>
      <c r="J1281" s="53"/>
      <c r="K1281" s="58"/>
    </row>
    <row r="1282" spans="1:11" s="3" customFormat="1" ht="12" customHeight="1" x14ac:dyDescent="0.2">
      <c r="A1282" s="205"/>
      <c r="B1282" s="12" t="s">
        <v>83</v>
      </c>
      <c r="C1282" s="20" t="s">
        <v>33</v>
      </c>
      <c r="D1282" s="20">
        <v>0.24</v>
      </c>
      <c r="E1282" s="44">
        <f>VLOOKUP(B1282,'Costo de Materiales'!B$4:D$350,3,FALSE)</f>
        <v>0.84211251580157165</v>
      </c>
      <c r="F1282" s="206">
        <f t="shared" si="117"/>
        <v>0.2021070037923772</v>
      </c>
      <c r="G1282" s="302"/>
      <c r="H1282" s="83"/>
      <c r="I1282" s="53"/>
      <c r="J1282" s="53"/>
      <c r="K1282" s="58"/>
    </row>
    <row r="1283" spans="1:11" s="3" customFormat="1" ht="12" customHeight="1" x14ac:dyDescent="0.2">
      <c r="A1283" s="205"/>
      <c r="B1283" s="15" t="s">
        <v>10</v>
      </c>
      <c r="C1283" s="20" t="s">
        <v>33</v>
      </c>
      <c r="D1283" s="20">
        <v>0.24</v>
      </c>
      <c r="E1283" s="44">
        <f>VLOOKUP(B1283,'Costo de Materiales'!B$4:D$350,3,FALSE)</f>
        <v>0.35088021491732146</v>
      </c>
      <c r="F1283" s="206">
        <f t="shared" si="117"/>
        <v>8.4211251580157145E-2</v>
      </c>
      <c r="G1283" s="302"/>
      <c r="H1283" s="83"/>
      <c r="I1283" s="53"/>
      <c r="J1283" s="53"/>
      <c r="K1283" s="58"/>
    </row>
    <row r="1284" spans="1:11" s="3" customFormat="1" ht="12" customHeight="1" x14ac:dyDescent="0.2">
      <c r="A1284" s="207"/>
      <c r="B1284" s="27" t="s">
        <v>109</v>
      </c>
      <c r="C1284" s="28" t="s">
        <v>11</v>
      </c>
      <c r="D1284" s="80">
        <f>VLOOKUP(B1284,'Costo de Materiales'!B$4:D$350,3,FALSE)</f>
        <v>0.28999999999999998</v>
      </c>
      <c r="E1284" s="45">
        <f>SUM(F1282:F1283)</f>
        <v>0.28631825537253436</v>
      </c>
      <c r="F1284" s="208">
        <f t="shared" si="117"/>
        <v>8.3032294058034958E-2</v>
      </c>
      <c r="G1284" s="307"/>
      <c r="H1284" s="83"/>
      <c r="I1284" s="53"/>
      <c r="J1284" s="53"/>
      <c r="K1284" s="58"/>
    </row>
    <row r="1285" spans="1:11" s="1" customFormat="1" ht="27" customHeight="1" x14ac:dyDescent="0.2">
      <c r="A1285" s="209">
        <v>61</v>
      </c>
      <c r="B1285" s="93" t="s">
        <v>616</v>
      </c>
      <c r="C1285" s="95" t="s">
        <v>17</v>
      </c>
      <c r="D1285" s="95"/>
      <c r="E1285" s="94"/>
      <c r="F1285" s="210">
        <f>SUM(F1286:F1292)</f>
        <v>1.9734333947600837</v>
      </c>
      <c r="G1285" s="302"/>
      <c r="H1285" s="83"/>
      <c r="I1285" s="53"/>
      <c r="J1285" s="53"/>
      <c r="K1285" s="62"/>
    </row>
    <row r="1286" spans="1:11" s="3" customFormat="1" ht="12" customHeight="1" x14ac:dyDescent="0.2">
      <c r="A1286" s="205"/>
      <c r="B1286" s="15" t="s">
        <v>314</v>
      </c>
      <c r="C1286" s="20" t="s">
        <v>17</v>
      </c>
      <c r="D1286" s="20">
        <v>1</v>
      </c>
      <c r="E1286" s="44">
        <f>VLOOKUP(B1286,'Costo de Materiales'!B$4:D$350,3,FALSE)</f>
        <v>0.79169074201785605</v>
      </c>
      <c r="F1286" s="206">
        <f t="shared" ref="F1286:F1292" si="118">D1286*E1286</f>
        <v>0.79169074201785605</v>
      </c>
      <c r="G1286" s="302"/>
      <c r="H1286" s="83"/>
      <c r="I1286" s="53"/>
      <c r="J1286" s="53"/>
      <c r="K1286" s="58"/>
    </row>
    <row r="1287" spans="1:11" s="3" customFormat="1" ht="12" customHeight="1" x14ac:dyDescent="0.2">
      <c r="A1287" s="205"/>
      <c r="B1287" s="15" t="s">
        <v>206</v>
      </c>
      <c r="C1287" s="20" t="s">
        <v>17</v>
      </c>
      <c r="D1287" s="20">
        <v>3</v>
      </c>
      <c r="E1287" s="44">
        <f>VLOOKUP(B1287,'Costo de Materiales'!B$4:D$350,3,FALSE)</f>
        <v>8.8039035742891569E-2</v>
      </c>
      <c r="F1287" s="206">
        <f t="shared" si="118"/>
        <v>0.26411710722867471</v>
      </c>
      <c r="G1287" s="302"/>
      <c r="H1287" s="83"/>
      <c r="I1287" s="53"/>
      <c r="J1287" s="53"/>
      <c r="K1287" s="58"/>
    </row>
    <row r="1288" spans="1:11" s="3" customFormat="1" ht="12" customHeight="1" x14ac:dyDescent="0.2">
      <c r="A1288" s="205"/>
      <c r="B1288" s="12" t="s">
        <v>57</v>
      </c>
      <c r="C1288" s="20" t="s">
        <v>17</v>
      </c>
      <c r="D1288" s="20">
        <v>1</v>
      </c>
      <c r="E1288" s="44">
        <f>VLOOKUP(B1288,'Costo de Materiales'!B$4:D$350,3,FALSE)</f>
        <v>0.479487800786565</v>
      </c>
      <c r="F1288" s="206">
        <f t="shared" si="118"/>
        <v>0.479487800786565</v>
      </c>
      <c r="G1288" s="302"/>
      <c r="H1288" s="83"/>
      <c r="I1288" s="53"/>
      <c r="J1288" s="53"/>
      <c r="K1288" s="58"/>
    </row>
    <row r="1289" spans="1:11" s="3" customFormat="1" ht="12" customHeight="1" x14ac:dyDescent="0.2">
      <c r="A1289" s="205"/>
      <c r="B1289" s="15" t="s">
        <v>336</v>
      </c>
      <c r="C1289" s="20" t="s">
        <v>17</v>
      </c>
      <c r="D1289" s="20">
        <v>12</v>
      </c>
      <c r="E1289" s="44">
        <f>VLOOKUP(B1289,'Costo de Materiales'!B$4:D$350,3,FALSE)</f>
        <v>4.4497990891787589E-3</v>
      </c>
      <c r="F1289" s="206">
        <f t="shared" si="118"/>
        <v>5.3397589070145107E-2</v>
      </c>
      <c r="G1289" s="302"/>
      <c r="H1289" s="83"/>
      <c r="I1289" s="53"/>
      <c r="J1289" s="53"/>
      <c r="K1289" s="58"/>
    </row>
    <row r="1290" spans="1:11" s="3" customFormat="1" ht="12" customHeight="1" x14ac:dyDescent="0.2">
      <c r="A1290" s="205"/>
      <c r="B1290" s="12" t="s">
        <v>83</v>
      </c>
      <c r="C1290" s="20" t="s">
        <v>33</v>
      </c>
      <c r="D1290" s="20">
        <v>0.25</v>
      </c>
      <c r="E1290" s="44">
        <f>VLOOKUP(B1290,'Costo de Materiales'!B$4:D$350,3,FALSE)</f>
        <v>0.84211251580157165</v>
      </c>
      <c r="F1290" s="206">
        <f t="shared" si="118"/>
        <v>0.21052812895039291</v>
      </c>
      <c r="G1290" s="302"/>
      <c r="H1290" s="83"/>
      <c r="I1290" s="53"/>
      <c r="J1290" s="53"/>
      <c r="K1290" s="58"/>
    </row>
    <row r="1291" spans="1:11" s="3" customFormat="1" ht="12" customHeight="1" x14ac:dyDescent="0.2">
      <c r="A1291" s="205"/>
      <c r="B1291" s="15" t="s">
        <v>10</v>
      </c>
      <c r="C1291" s="20" t="s">
        <v>33</v>
      </c>
      <c r="D1291" s="20">
        <v>0.25</v>
      </c>
      <c r="E1291" s="44">
        <f>VLOOKUP(B1291,'Costo de Materiales'!B$4:D$350,3,FALSE)</f>
        <v>0.35088021491732146</v>
      </c>
      <c r="F1291" s="206">
        <f t="shared" si="118"/>
        <v>8.7720053729330366E-2</v>
      </c>
      <c r="G1291" s="302"/>
      <c r="H1291" s="83"/>
      <c r="I1291" s="53"/>
      <c r="J1291" s="53"/>
      <c r="K1291" s="58"/>
    </row>
    <row r="1292" spans="1:11" s="3" customFormat="1" ht="12" customHeight="1" x14ac:dyDescent="0.2">
      <c r="A1292" s="207"/>
      <c r="B1292" s="27" t="s">
        <v>109</v>
      </c>
      <c r="C1292" s="28" t="s">
        <v>11</v>
      </c>
      <c r="D1292" s="80">
        <f>VLOOKUP(B1292,'Costo de Materiales'!B$4:D$350,3,FALSE)</f>
        <v>0.28999999999999998</v>
      </c>
      <c r="E1292" s="45">
        <f>SUM(F1290:F1291)</f>
        <v>0.29824818267972331</v>
      </c>
      <c r="F1292" s="208">
        <f t="shared" si="118"/>
        <v>8.6491972977119747E-2</v>
      </c>
      <c r="G1292" s="302"/>
      <c r="H1292" s="83"/>
      <c r="I1292" s="53"/>
      <c r="J1292" s="53"/>
      <c r="K1292" s="58"/>
    </row>
    <row r="1293" spans="1:11" s="1" customFormat="1" ht="27" customHeight="1" x14ac:dyDescent="0.2">
      <c r="A1293" s="209">
        <v>62</v>
      </c>
      <c r="B1293" s="93" t="s">
        <v>617</v>
      </c>
      <c r="C1293" s="95" t="s">
        <v>17</v>
      </c>
      <c r="D1293" s="95"/>
      <c r="E1293" s="94"/>
      <c r="F1293" s="210">
        <f>SUM(F1294:F1300)</f>
        <v>2.1278400485669078</v>
      </c>
      <c r="G1293" s="303"/>
      <c r="H1293" s="83"/>
      <c r="I1293" s="53"/>
      <c r="J1293" s="53"/>
      <c r="K1293" s="62"/>
    </row>
    <row r="1294" spans="1:11" s="3" customFormat="1" ht="12" customHeight="1" x14ac:dyDescent="0.2">
      <c r="A1294" s="205"/>
      <c r="B1294" s="15" t="s">
        <v>314</v>
      </c>
      <c r="C1294" s="20" t="s">
        <v>17</v>
      </c>
      <c r="D1294" s="20">
        <v>1</v>
      </c>
      <c r="E1294" s="44">
        <f>VLOOKUP(B1294,'Costo de Materiales'!B$4:D$350,3,FALSE)</f>
        <v>0.79169074201785605</v>
      </c>
      <c r="F1294" s="206">
        <f t="shared" ref="F1294:F1300" si="119">D1294*E1294</f>
        <v>0.79169074201785605</v>
      </c>
      <c r="G1294" s="302"/>
      <c r="H1294" s="83"/>
      <c r="I1294" s="53"/>
      <c r="J1294" s="53"/>
      <c r="K1294" s="58"/>
    </row>
    <row r="1295" spans="1:11" s="3" customFormat="1" ht="12" customHeight="1" x14ac:dyDescent="0.2">
      <c r="A1295" s="205"/>
      <c r="B1295" s="15" t="s">
        <v>206</v>
      </c>
      <c r="C1295" s="20" t="s">
        <v>17</v>
      </c>
      <c r="D1295" s="20">
        <v>3</v>
      </c>
      <c r="E1295" s="44">
        <f>VLOOKUP(B1295,'Costo de Materiales'!B$4:D$350,3,FALSE)</f>
        <v>8.8039035742891569E-2</v>
      </c>
      <c r="F1295" s="206">
        <f t="shared" si="119"/>
        <v>0.26411710722867471</v>
      </c>
      <c r="G1295" s="302"/>
      <c r="H1295" s="83"/>
      <c r="I1295" s="53"/>
      <c r="J1295" s="53"/>
      <c r="K1295" s="58"/>
    </row>
    <row r="1296" spans="1:11" s="3" customFormat="1" ht="12" customHeight="1" x14ac:dyDescent="0.2">
      <c r="A1296" s="205"/>
      <c r="B1296" s="12" t="s">
        <v>56</v>
      </c>
      <c r="C1296" s="20" t="s">
        <v>17</v>
      </c>
      <c r="D1296" s="20">
        <v>1</v>
      </c>
      <c r="E1296" s="44">
        <f>VLOOKUP(B1296,'Costo de Materiales'!B$4:D$350,3,FALSE)</f>
        <v>0.60311524214084145</v>
      </c>
      <c r="F1296" s="206">
        <f t="shared" si="119"/>
        <v>0.60311524214084145</v>
      </c>
      <c r="G1296" s="302"/>
      <c r="H1296" s="83"/>
      <c r="I1296" s="53"/>
      <c r="J1296" s="53"/>
      <c r="K1296" s="58"/>
    </row>
    <row r="1297" spans="1:11" s="3" customFormat="1" ht="12" customHeight="1" x14ac:dyDescent="0.2">
      <c r="A1297" s="205"/>
      <c r="B1297" s="15" t="s">
        <v>336</v>
      </c>
      <c r="C1297" s="20" t="s">
        <v>17</v>
      </c>
      <c r="D1297" s="20">
        <v>12</v>
      </c>
      <c r="E1297" s="44">
        <f>VLOOKUP(B1297,'Costo de Materiales'!B$4:D$350,3,FALSE)</f>
        <v>4.4497990891787589E-3</v>
      </c>
      <c r="F1297" s="206">
        <f t="shared" si="119"/>
        <v>5.3397589070145107E-2</v>
      </c>
      <c r="G1297" s="302"/>
      <c r="H1297" s="83"/>
      <c r="I1297" s="53"/>
      <c r="J1297" s="53"/>
      <c r="K1297" s="58"/>
    </row>
    <row r="1298" spans="1:11" s="3" customFormat="1" ht="12" customHeight="1" x14ac:dyDescent="0.2">
      <c r="A1298" s="205"/>
      <c r="B1298" s="12" t="s">
        <v>83</v>
      </c>
      <c r="C1298" s="20" t="s">
        <v>33</v>
      </c>
      <c r="D1298" s="20">
        <v>0.27</v>
      </c>
      <c r="E1298" s="44">
        <f>VLOOKUP(B1298,'Costo de Materiales'!B$4:D$350,3,FALSE)</f>
        <v>0.84211251580157165</v>
      </c>
      <c r="F1298" s="206">
        <f t="shared" si="119"/>
        <v>0.22737037926642437</v>
      </c>
      <c r="G1298" s="302"/>
      <c r="H1298" s="83"/>
      <c r="I1298" s="53"/>
      <c r="J1298" s="53"/>
      <c r="K1298" s="58"/>
    </row>
    <row r="1299" spans="1:11" s="3" customFormat="1" ht="12" customHeight="1" x14ac:dyDescent="0.2">
      <c r="A1299" s="205"/>
      <c r="B1299" s="15" t="s">
        <v>10</v>
      </c>
      <c r="C1299" s="20" t="s">
        <v>33</v>
      </c>
      <c r="D1299" s="20">
        <v>0.27</v>
      </c>
      <c r="E1299" s="44">
        <f>VLOOKUP(B1299,'Costo de Materiales'!B$4:D$350,3,FALSE)</f>
        <v>0.35088021491732146</v>
      </c>
      <c r="F1299" s="206">
        <f t="shared" si="119"/>
        <v>9.4737658027676808E-2</v>
      </c>
      <c r="G1299" s="302"/>
      <c r="H1299" s="83"/>
      <c r="I1299" s="53"/>
      <c r="J1299" s="53"/>
      <c r="K1299" s="58"/>
    </row>
    <row r="1300" spans="1:11" s="3" customFormat="1" ht="12" customHeight="1" x14ac:dyDescent="0.2">
      <c r="A1300" s="207"/>
      <c r="B1300" s="27" t="s">
        <v>109</v>
      </c>
      <c r="C1300" s="28" t="s">
        <v>11</v>
      </c>
      <c r="D1300" s="80">
        <f>VLOOKUP(B1300,'Costo de Materiales'!B$4:D$350,3,FALSE)</f>
        <v>0.28999999999999998</v>
      </c>
      <c r="E1300" s="45">
        <f>SUM(F1298:F1299)</f>
        <v>0.3221080372941012</v>
      </c>
      <c r="F1300" s="208">
        <f t="shared" si="119"/>
        <v>9.3411330815289337E-2</v>
      </c>
      <c r="G1300" s="307"/>
      <c r="H1300" s="83"/>
      <c r="I1300" s="53"/>
      <c r="J1300" s="53"/>
      <c r="K1300" s="58"/>
    </row>
    <row r="1301" spans="1:11" s="1" customFormat="1" ht="12" customHeight="1" x14ac:dyDescent="0.2">
      <c r="A1301" s="209">
        <v>63</v>
      </c>
      <c r="B1301" s="93" t="s">
        <v>189</v>
      </c>
      <c r="C1301" s="91" t="s">
        <v>38</v>
      </c>
      <c r="D1301" s="91"/>
      <c r="E1301" s="94"/>
      <c r="F1301" s="210">
        <f>SUM(F1302:F1308)</f>
        <v>1.1534062864273475E-2</v>
      </c>
      <c r="G1301" s="302"/>
      <c r="H1301" s="83"/>
      <c r="I1301" s="54"/>
      <c r="J1301" s="54"/>
      <c r="K1301" s="70"/>
    </row>
    <row r="1302" spans="1:11" s="3" customFormat="1" ht="12" customHeight="1" x14ac:dyDescent="0.2">
      <c r="A1302" s="205"/>
      <c r="B1302" s="16" t="s">
        <v>190</v>
      </c>
      <c r="C1302" s="11" t="s">
        <v>20</v>
      </c>
      <c r="D1302" s="11">
        <v>0.03</v>
      </c>
      <c r="E1302" s="44">
        <f>VLOOKUP(B1302,'Costo de Materiales'!B$4:D$350,3,FALSE)</f>
        <v>1.2009672810579229E-2</v>
      </c>
      <c r="F1302" s="206">
        <f t="shared" ref="F1302:F1308" si="120">D1302*E1302</f>
        <v>3.6029018431737688E-4</v>
      </c>
      <c r="G1302" s="302"/>
      <c r="H1302" s="83"/>
      <c r="I1302" s="54"/>
      <c r="J1302" s="54"/>
      <c r="K1302" s="71"/>
    </row>
    <row r="1303" spans="1:11" s="3" customFormat="1" ht="12" customHeight="1" x14ac:dyDescent="0.2">
      <c r="A1303" s="205"/>
      <c r="B1303" s="16" t="s">
        <v>112</v>
      </c>
      <c r="C1303" s="11" t="s">
        <v>17</v>
      </c>
      <c r="D1303" s="11">
        <v>0.01</v>
      </c>
      <c r="E1303" s="44">
        <f>VLOOKUP(B1303,'Costo de Materiales'!B$4:D$350,3,FALSE)</f>
        <v>0.12674750308854335</v>
      </c>
      <c r="F1303" s="206">
        <f t="shared" si="120"/>
        <v>1.2674750308854334E-3</v>
      </c>
      <c r="G1303" s="302"/>
      <c r="H1303" s="83"/>
      <c r="I1303" s="54"/>
      <c r="J1303" s="54"/>
      <c r="K1303" s="71"/>
    </row>
    <row r="1304" spans="1:11" s="3" customFormat="1" ht="12" customHeight="1" x14ac:dyDescent="0.2">
      <c r="A1304" s="205"/>
      <c r="B1304" s="16" t="s">
        <v>500</v>
      </c>
      <c r="C1304" s="11" t="s">
        <v>17</v>
      </c>
      <c r="D1304" s="11">
        <v>0.01</v>
      </c>
      <c r="E1304" s="44">
        <f>VLOOKUP(B1304,'Costo de Materiales'!B$4:D$350,3,FALSE)</f>
        <v>2.6220321514730749E-2</v>
      </c>
      <c r="F1304" s="206">
        <f t="shared" si="120"/>
        <v>2.6220321514730749E-4</v>
      </c>
      <c r="G1304" s="302"/>
      <c r="H1304" s="83"/>
      <c r="I1304" s="54"/>
      <c r="J1304" s="54"/>
      <c r="K1304" s="71"/>
    </row>
    <row r="1305" spans="1:11" s="3" customFormat="1" ht="12" customHeight="1" x14ac:dyDescent="0.2">
      <c r="A1305" s="205"/>
      <c r="B1305" s="16" t="s">
        <v>499</v>
      </c>
      <c r="C1305" s="11" t="s">
        <v>17</v>
      </c>
      <c r="D1305" s="11">
        <v>1.4999999999999999E-2</v>
      </c>
      <c r="E1305" s="44">
        <f>VLOOKUP(B1305,'Costo de Materiales'!B$4:D$350,3,FALSE)</f>
        <v>2.80958668543557E-3</v>
      </c>
      <c r="F1305" s="206">
        <f t="shared" si="120"/>
        <v>4.2143800281533546E-5</v>
      </c>
      <c r="G1305" s="302"/>
      <c r="H1305" s="83"/>
      <c r="I1305" s="54"/>
      <c r="J1305" s="54"/>
      <c r="K1305" s="71"/>
    </row>
    <row r="1306" spans="1:11" s="3" customFormat="1" ht="12" customHeight="1" x14ac:dyDescent="0.2">
      <c r="A1306" s="205"/>
      <c r="B1306" s="16" t="s">
        <v>111</v>
      </c>
      <c r="C1306" s="11" t="s">
        <v>11</v>
      </c>
      <c r="D1306" s="11">
        <v>0.05</v>
      </c>
      <c r="E1306" s="44">
        <f>SUM(F1302:F1305)</f>
        <v>1.9321122306316511E-3</v>
      </c>
      <c r="F1306" s="206">
        <f t="shared" si="120"/>
        <v>9.6605611531582562E-5</v>
      </c>
      <c r="G1306" s="302"/>
      <c r="H1306" s="83"/>
      <c r="I1306" s="54"/>
      <c r="J1306" s="54"/>
      <c r="K1306" s="71"/>
    </row>
    <row r="1307" spans="1:11" s="3" customFormat="1" ht="12" customHeight="1" x14ac:dyDescent="0.2">
      <c r="A1307" s="205"/>
      <c r="B1307" s="16" t="s">
        <v>89</v>
      </c>
      <c r="C1307" s="11" t="s">
        <v>33</v>
      </c>
      <c r="D1307" s="11">
        <v>0.01</v>
      </c>
      <c r="E1307" s="44">
        <f>VLOOKUP(B1307,'Costo de Materiales'!B$4:D$350,3,FALSE)</f>
        <v>0.73684845132637522</v>
      </c>
      <c r="F1307" s="206">
        <f t="shared" si="120"/>
        <v>7.3684845132637525E-3</v>
      </c>
      <c r="G1307" s="302"/>
      <c r="H1307" s="83"/>
      <c r="I1307" s="54"/>
      <c r="J1307" s="54"/>
      <c r="K1307" s="71"/>
    </row>
    <row r="1308" spans="1:11" s="3" customFormat="1" ht="12" customHeight="1" x14ac:dyDescent="0.2">
      <c r="A1308" s="207"/>
      <c r="B1308" s="30" t="s">
        <v>93</v>
      </c>
      <c r="C1308" s="23" t="s">
        <v>11</v>
      </c>
      <c r="D1308" s="80">
        <f>VLOOKUP(B1308,'Costo de Materiales'!B$4:D$350,3,FALSE)</f>
        <v>0.28999999999999998</v>
      </c>
      <c r="E1308" s="45">
        <f>F1307</f>
        <v>7.3684845132637525E-3</v>
      </c>
      <c r="F1308" s="208">
        <f t="shared" si="120"/>
        <v>2.1368605088464879E-3</v>
      </c>
      <c r="G1308" s="302"/>
      <c r="H1308" s="83"/>
      <c r="I1308" s="53"/>
      <c r="J1308" s="53"/>
      <c r="K1308" s="58"/>
    </row>
    <row r="1309" spans="1:11" s="1" customFormat="1" ht="12" customHeight="1" x14ac:dyDescent="0.2">
      <c r="A1309" s="209">
        <v>64</v>
      </c>
      <c r="B1309" s="93" t="s">
        <v>393</v>
      </c>
      <c r="C1309" s="95" t="s">
        <v>17</v>
      </c>
      <c r="D1309" s="95"/>
      <c r="E1309" s="94"/>
      <c r="F1309" s="210">
        <f>SUM(F1310:F1317)</f>
        <v>1.5085408226697656</v>
      </c>
      <c r="G1309" s="302"/>
      <c r="H1309" s="83"/>
      <c r="I1309" s="53"/>
      <c r="J1309" s="53"/>
      <c r="K1309" s="62"/>
    </row>
    <row r="1310" spans="1:11" s="3" customFormat="1" ht="12" customHeight="1" x14ac:dyDescent="0.2">
      <c r="A1310" s="205"/>
      <c r="B1310" s="15" t="s">
        <v>299</v>
      </c>
      <c r="C1310" s="20" t="s">
        <v>17</v>
      </c>
      <c r="D1310" s="20">
        <v>1</v>
      </c>
      <c r="E1310" s="44">
        <f>VLOOKUP(B1310,'Costo de Materiales'!B$4:D$350,3,FALSE)</f>
        <v>1.0852246574372411</v>
      </c>
      <c r="F1310" s="206">
        <f>D1310*E1310</f>
        <v>1.0852246574372411</v>
      </c>
      <c r="G1310" s="302"/>
      <c r="H1310" s="83"/>
      <c r="I1310" s="53"/>
      <c r="J1310" s="53"/>
      <c r="K1310" s="58"/>
    </row>
    <row r="1311" spans="1:11" s="3" customFormat="1" ht="12" customHeight="1" x14ac:dyDescent="0.2">
      <c r="A1311" s="205"/>
      <c r="B1311" s="12" t="s">
        <v>161</v>
      </c>
      <c r="C1311" s="20" t="s">
        <v>17</v>
      </c>
      <c r="D1311" s="20">
        <v>12</v>
      </c>
      <c r="E1311" s="44">
        <f>VLOOKUP(B1311,'Costo de Materiales'!B$4:D$350,3,FALSE)</f>
        <v>1.2440298528886853E-3</v>
      </c>
      <c r="F1311" s="206">
        <f t="shared" ref="F1311:F1317" si="121">D1311*E1311</f>
        <v>1.4928358234664223E-2</v>
      </c>
      <c r="G1311" s="302"/>
      <c r="H1311" s="83"/>
      <c r="I1311" s="53"/>
      <c r="J1311" s="53"/>
      <c r="K1311" s="58"/>
    </row>
    <row r="1312" spans="1:11" s="3" customFormat="1" ht="12" customHeight="1" x14ac:dyDescent="0.2">
      <c r="A1312" s="205"/>
      <c r="B1312" s="12" t="s">
        <v>301</v>
      </c>
      <c r="C1312" s="20" t="s">
        <v>17</v>
      </c>
      <c r="D1312" s="20">
        <v>12</v>
      </c>
      <c r="E1312" s="109">
        <f>VLOOKUP(B1312,'Costo de Materiales'!B$4:D$350,3,FALSE)</f>
        <v>4.6131479375966894E-4</v>
      </c>
      <c r="F1312" s="206">
        <f t="shared" si="121"/>
        <v>5.5357775251160275E-3</v>
      </c>
      <c r="G1312" s="302"/>
      <c r="H1312" s="83"/>
      <c r="I1312" s="53"/>
      <c r="J1312" s="53"/>
      <c r="K1312" s="58"/>
    </row>
    <row r="1313" spans="1:11" s="3" customFormat="1" ht="12" customHeight="1" x14ac:dyDescent="0.2">
      <c r="A1313" s="205"/>
      <c r="B1313" s="15" t="s">
        <v>227</v>
      </c>
      <c r="C1313" s="20" t="s">
        <v>17</v>
      </c>
      <c r="D1313" s="20">
        <v>0.6</v>
      </c>
      <c r="E1313" s="44">
        <f>VLOOKUP(B1313,'Costo de Materiales'!B$4:D$350,3,FALSE)</f>
        <v>0.10014440315753916</v>
      </c>
      <c r="F1313" s="206">
        <f t="shared" si="121"/>
        <v>6.0086641894523493E-2</v>
      </c>
      <c r="G1313" s="302"/>
      <c r="H1313" s="83"/>
      <c r="I1313" s="53"/>
      <c r="J1313" s="53"/>
      <c r="K1313" s="58"/>
    </row>
    <row r="1314" spans="1:11" s="3" customFormat="1" ht="12" customHeight="1" x14ac:dyDescent="0.2">
      <c r="A1314" s="205"/>
      <c r="B1314" s="15" t="s">
        <v>111</v>
      </c>
      <c r="C1314" s="20" t="s">
        <v>11</v>
      </c>
      <c r="D1314" s="20">
        <v>0.03</v>
      </c>
      <c r="E1314" s="44">
        <f>SUM(F1310:F1313)</f>
        <v>1.1657754350915448</v>
      </c>
      <c r="F1314" s="206">
        <f t="shared" si="121"/>
        <v>3.497326305274634E-2</v>
      </c>
      <c r="G1314" s="302"/>
      <c r="H1314" s="83"/>
      <c r="I1314" s="53"/>
      <c r="J1314" s="53"/>
      <c r="K1314" s="58"/>
    </row>
    <row r="1315" spans="1:11" s="3" customFormat="1" ht="12" customHeight="1" x14ac:dyDescent="0.2">
      <c r="A1315" s="205"/>
      <c r="B1315" s="15" t="s">
        <v>83</v>
      </c>
      <c r="C1315" s="20" t="s">
        <v>33</v>
      </c>
      <c r="D1315" s="20">
        <v>0.2</v>
      </c>
      <c r="E1315" s="44">
        <f>VLOOKUP(B1315,'Costo de Materiales'!B$4:D$350,3,FALSE)</f>
        <v>0.84211251580157165</v>
      </c>
      <c r="F1315" s="206">
        <f t="shared" si="121"/>
        <v>0.16842250316031435</v>
      </c>
      <c r="G1315" s="302"/>
      <c r="H1315" s="83"/>
      <c r="I1315" s="53"/>
      <c r="J1315" s="53"/>
      <c r="K1315" s="58"/>
    </row>
    <row r="1316" spans="1:11" s="3" customFormat="1" ht="12" customHeight="1" x14ac:dyDescent="0.2">
      <c r="A1316" s="205"/>
      <c r="B1316" s="15" t="s">
        <v>10</v>
      </c>
      <c r="C1316" s="20" t="s">
        <v>33</v>
      </c>
      <c r="D1316" s="20">
        <v>0.2</v>
      </c>
      <c r="E1316" s="44">
        <f>VLOOKUP(B1316,'Costo de Materiales'!B$4:D$350,3,FALSE)</f>
        <v>0.35088021491732146</v>
      </c>
      <c r="F1316" s="206">
        <f t="shared" si="121"/>
        <v>7.017604298346429E-2</v>
      </c>
      <c r="G1316" s="302"/>
      <c r="H1316" s="83"/>
      <c r="I1316" s="53"/>
      <c r="J1316" s="53"/>
      <c r="K1316" s="58"/>
    </row>
    <row r="1317" spans="1:11" s="3" customFormat="1" ht="12" customHeight="1" x14ac:dyDescent="0.2">
      <c r="A1317" s="207"/>
      <c r="B1317" s="27" t="s">
        <v>93</v>
      </c>
      <c r="C1317" s="28" t="s">
        <v>11</v>
      </c>
      <c r="D1317" s="80">
        <f>VLOOKUP(B1317,'Costo de Materiales'!B$4:D$350,3,FALSE)</f>
        <v>0.28999999999999998</v>
      </c>
      <c r="E1317" s="45">
        <f>SUM(F1315:F1316)</f>
        <v>0.23859854614377862</v>
      </c>
      <c r="F1317" s="208">
        <f t="shared" si="121"/>
        <v>6.9193578381695792E-2</v>
      </c>
      <c r="G1317" s="302"/>
      <c r="H1317" s="83"/>
      <c r="I1317" s="53"/>
      <c r="J1317" s="53"/>
      <c r="K1317" s="58"/>
    </row>
    <row r="1318" spans="1:11" s="1" customFormat="1" ht="12" customHeight="1" x14ac:dyDescent="0.2">
      <c r="A1318" s="209">
        <v>65</v>
      </c>
      <c r="B1318" s="93" t="s">
        <v>379</v>
      </c>
      <c r="C1318" s="95" t="s">
        <v>17</v>
      </c>
      <c r="D1318" s="95"/>
      <c r="E1318" s="94"/>
      <c r="F1318" s="210">
        <f>SUM(F1319:F1326)</f>
        <v>1.2352683507342743</v>
      </c>
      <c r="G1318" s="303"/>
      <c r="H1318" s="83"/>
      <c r="I1318" s="53"/>
      <c r="J1318" s="53"/>
      <c r="K1318" s="62"/>
    </row>
    <row r="1319" spans="1:11" s="3" customFormat="1" ht="12" customHeight="1" x14ac:dyDescent="0.2">
      <c r="A1319" s="205"/>
      <c r="B1319" s="15" t="s">
        <v>340</v>
      </c>
      <c r="C1319" s="20" t="s">
        <v>17</v>
      </c>
      <c r="D1319" s="20">
        <v>1</v>
      </c>
      <c r="E1319" s="44">
        <f>VLOOKUP(B1319,'Costo de Materiales'!B$4:D$350,3,FALSE)</f>
        <v>0.93148310376321031</v>
      </c>
      <c r="F1319" s="206">
        <f>D1319*E1319</f>
        <v>0.93148310376321031</v>
      </c>
      <c r="G1319" s="302"/>
      <c r="H1319" s="83"/>
      <c r="I1319" s="53"/>
      <c r="J1319" s="53"/>
      <c r="K1319" s="58"/>
    </row>
    <row r="1320" spans="1:11" s="3" customFormat="1" ht="12" customHeight="1" x14ac:dyDescent="0.2">
      <c r="A1320" s="205"/>
      <c r="B1320" s="12" t="s">
        <v>161</v>
      </c>
      <c r="C1320" s="20" t="s">
        <v>17</v>
      </c>
      <c r="D1320" s="20">
        <v>8</v>
      </c>
      <c r="E1320" s="44">
        <f>VLOOKUP(B1320,'Costo de Materiales'!B$4:D$350,3,FALSE)</f>
        <v>1.2440298528886853E-3</v>
      </c>
      <c r="F1320" s="206">
        <f t="shared" ref="F1320:F1326" si="122">D1320*E1320</f>
        <v>9.952238823109482E-3</v>
      </c>
      <c r="G1320" s="302"/>
      <c r="H1320" s="83"/>
      <c r="I1320" s="53"/>
      <c r="J1320" s="53"/>
      <c r="K1320" s="58"/>
    </row>
    <row r="1321" spans="1:11" s="3" customFormat="1" ht="12" customHeight="1" x14ac:dyDescent="0.2">
      <c r="A1321" s="205"/>
      <c r="B1321" s="12" t="s">
        <v>301</v>
      </c>
      <c r="C1321" s="20" t="s">
        <v>17</v>
      </c>
      <c r="D1321" s="20">
        <v>8</v>
      </c>
      <c r="E1321" s="109">
        <f>VLOOKUP(B1321,'Costo de Materiales'!B$4:D$350,3,FALSE)</f>
        <v>4.6131479375966894E-4</v>
      </c>
      <c r="F1321" s="206">
        <f t="shared" si="122"/>
        <v>3.6905183500773515E-3</v>
      </c>
      <c r="G1321" s="302"/>
      <c r="H1321" s="83"/>
      <c r="I1321" s="53"/>
      <c r="J1321" s="53"/>
      <c r="K1321" s="58"/>
    </row>
    <row r="1322" spans="1:11" s="3" customFormat="1" ht="12" customHeight="1" x14ac:dyDescent="0.2">
      <c r="A1322" s="205"/>
      <c r="B1322" s="15" t="s">
        <v>227</v>
      </c>
      <c r="C1322" s="20" t="s">
        <v>17</v>
      </c>
      <c r="D1322" s="20">
        <v>0.3</v>
      </c>
      <c r="E1322" s="44">
        <f>VLOOKUP(B1322,'Costo de Materiales'!B$4:D$350,3,FALSE)</f>
        <v>0.10014440315753916</v>
      </c>
      <c r="F1322" s="206">
        <f t="shared" si="122"/>
        <v>3.0043320947261747E-2</v>
      </c>
      <c r="G1322" s="302"/>
      <c r="H1322" s="83"/>
      <c r="I1322" s="53"/>
      <c r="J1322" s="53"/>
      <c r="K1322" s="58"/>
    </row>
    <row r="1323" spans="1:11" s="3" customFormat="1" ht="12" customHeight="1" x14ac:dyDescent="0.2">
      <c r="A1323" s="205"/>
      <c r="B1323" s="15" t="s">
        <v>111</v>
      </c>
      <c r="C1323" s="20" t="s">
        <v>11</v>
      </c>
      <c r="D1323" s="20">
        <v>0.03</v>
      </c>
      <c r="E1323" s="44">
        <f>SUM(F1319:F1322)</f>
        <v>0.97516918188365886</v>
      </c>
      <c r="F1323" s="206">
        <f t="shared" si="122"/>
        <v>2.9255075456509766E-2</v>
      </c>
      <c r="G1323" s="302"/>
      <c r="H1323" s="83"/>
      <c r="I1323" s="53"/>
      <c r="J1323" s="53"/>
      <c r="K1323" s="58"/>
    </row>
    <row r="1324" spans="1:11" s="3" customFormat="1" ht="12" customHeight="1" x14ac:dyDescent="0.2">
      <c r="A1324" s="205"/>
      <c r="B1324" s="15" t="s">
        <v>83</v>
      </c>
      <c r="C1324" s="20" t="s">
        <v>33</v>
      </c>
      <c r="D1324" s="20">
        <v>0.15</v>
      </c>
      <c r="E1324" s="44">
        <f>VLOOKUP(B1324,'Costo de Materiales'!B$4:D$350,3,FALSE)</f>
        <v>0.84211251580157165</v>
      </c>
      <c r="F1324" s="206">
        <f t="shared" si="122"/>
        <v>0.12631687737023575</v>
      </c>
      <c r="G1324" s="302"/>
      <c r="H1324" s="83"/>
      <c r="I1324" s="53"/>
      <c r="J1324" s="53"/>
      <c r="K1324" s="58"/>
    </row>
    <row r="1325" spans="1:11" s="3" customFormat="1" ht="12" customHeight="1" x14ac:dyDescent="0.2">
      <c r="A1325" s="205"/>
      <c r="B1325" s="15" t="s">
        <v>10</v>
      </c>
      <c r="C1325" s="20" t="s">
        <v>33</v>
      </c>
      <c r="D1325" s="20">
        <v>0.15</v>
      </c>
      <c r="E1325" s="44">
        <f>VLOOKUP(B1325,'Costo de Materiales'!B$4:D$350,3,FALSE)</f>
        <v>0.35088021491732146</v>
      </c>
      <c r="F1325" s="206">
        <f t="shared" si="122"/>
        <v>5.2632032237598221E-2</v>
      </c>
      <c r="G1325" s="302"/>
      <c r="H1325" s="83"/>
      <c r="I1325" s="53"/>
      <c r="J1325" s="53"/>
      <c r="K1325" s="58"/>
    </row>
    <row r="1326" spans="1:11" s="3" customFormat="1" ht="12" customHeight="1" x14ac:dyDescent="0.2">
      <c r="A1326" s="207"/>
      <c r="B1326" s="27" t="s">
        <v>93</v>
      </c>
      <c r="C1326" s="28" t="s">
        <v>11</v>
      </c>
      <c r="D1326" s="80">
        <f>VLOOKUP(B1326,'Costo de Materiales'!B$4:D$350,3,FALSE)</f>
        <v>0.28999999999999998</v>
      </c>
      <c r="E1326" s="45">
        <f>SUM(F1324:F1325)</f>
        <v>0.17894890960783397</v>
      </c>
      <c r="F1326" s="208">
        <f t="shared" si="122"/>
        <v>5.1895183786271844E-2</v>
      </c>
      <c r="G1326" s="307"/>
      <c r="H1326" s="83"/>
      <c r="I1326" s="53"/>
      <c r="J1326" s="53"/>
      <c r="K1326" s="58"/>
    </row>
    <row r="1327" spans="1:11" s="1" customFormat="1" ht="12" customHeight="1" x14ac:dyDescent="0.2">
      <c r="A1327" s="209">
        <v>66</v>
      </c>
      <c r="B1327" s="93" t="s">
        <v>380</v>
      </c>
      <c r="C1327" s="95" t="s">
        <v>17</v>
      </c>
      <c r="D1327" s="95"/>
      <c r="E1327" s="94"/>
      <c r="F1327" s="210">
        <f>SUM(F1328:F1335)</f>
        <v>1.3187588400462309</v>
      </c>
      <c r="G1327" s="302"/>
      <c r="H1327" s="83"/>
      <c r="I1327" s="53"/>
      <c r="J1327" s="53"/>
      <c r="K1327" s="62"/>
    </row>
    <row r="1328" spans="1:11" s="3" customFormat="1" ht="12" customHeight="1" x14ac:dyDescent="0.2">
      <c r="A1328" s="205"/>
      <c r="B1328" s="12" t="s">
        <v>341</v>
      </c>
      <c r="C1328" s="20" t="s">
        <v>17</v>
      </c>
      <c r="D1328" s="20">
        <v>1</v>
      </c>
      <c r="E1328" s="44">
        <f>VLOOKUP(B1328,'Costo de Materiales'!B$4:D$350,3,FALSE)</f>
        <v>0.92440987530036145</v>
      </c>
      <c r="F1328" s="206">
        <f>D1328*E1328</f>
        <v>0.92440987530036145</v>
      </c>
      <c r="G1328" s="302"/>
      <c r="H1328" s="83"/>
      <c r="I1328" s="53"/>
      <c r="J1328" s="53"/>
      <c r="K1328" s="58"/>
    </row>
    <row r="1329" spans="1:11" s="3" customFormat="1" ht="12" customHeight="1" x14ac:dyDescent="0.2">
      <c r="A1329" s="205"/>
      <c r="B1329" s="12" t="s">
        <v>161</v>
      </c>
      <c r="C1329" s="20" t="s">
        <v>17</v>
      </c>
      <c r="D1329" s="20">
        <v>10</v>
      </c>
      <c r="E1329" s="44">
        <f>VLOOKUP(B1329,'Costo de Materiales'!B$4:D$350,3,FALSE)</f>
        <v>1.2440298528886853E-3</v>
      </c>
      <c r="F1329" s="206">
        <f t="shared" ref="F1329:F1335" si="123">D1329*E1329</f>
        <v>1.2440298528886853E-2</v>
      </c>
      <c r="G1329" s="302"/>
      <c r="H1329" s="83"/>
      <c r="I1329" s="53"/>
      <c r="J1329" s="53"/>
      <c r="K1329" s="58"/>
    </row>
    <row r="1330" spans="1:11" s="3" customFormat="1" ht="12" customHeight="1" x14ac:dyDescent="0.2">
      <c r="A1330" s="205"/>
      <c r="B1330" s="12" t="s">
        <v>301</v>
      </c>
      <c r="C1330" s="20" t="s">
        <v>17</v>
      </c>
      <c r="D1330" s="20">
        <v>10</v>
      </c>
      <c r="E1330" s="109">
        <f>VLOOKUP(B1330,'Costo de Materiales'!B$4:D$350,3,FALSE)</f>
        <v>4.6131479375966894E-4</v>
      </c>
      <c r="F1330" s="206">
        <f t="shared" si="123"/>
        <v>4.6131479375966893E-3</v>
      </c>
      <c r="G1330" s="302"/>
      <c r="H1330" s="83"/>
      <c r="I1330" s="53"/>
      <c r="J1330" s="53"/>
      <c r="K1330" s="58"/>
    </row>
    <row r="1331" spans="1:11" s="3" customFormat="1" ht="12" customHeight="1" x14ac:dyDescent="0.2">
      <c r="A1331" s="205"/>
      <c r="B1331" s="15" t="s">
        <v>227</v>
      </c>
      <c r="C1331" s="20" t="s">
        <v>17</v>
      </c>
      <c r="D1331" s="20">
        <v>0.4</v>
      </c>
      <c r="E1331" s="44">
        <f>VLOOKUP(B1331,'Costo de Materiales'!B$4:D$350,3,FALSE)</f>
        <v>0.10014440315753916</v>
      </c>
      <c r="F1331" s="206">
        <f t="shared" si="123"/>
        <v>4.0057761263015662E-2</v>
      </c>
      <c r="G1331" s="302"/>
      <c r="H1331" s="83"/>
      <c r="I1331" s="53"/>
      <c r="J1331" s="53"/>
      <c r="K1331" s="58"/>
    </row>
    <row r="1332" spans="1:11" s="3" customFormat="1" ht="12" customHeight="1" x14ac:dyDescent="0.2">
      <c r="A1332" s="205"/>
      <c r="B1332" s="15" t="s">
        <v>111</v>
      </c>
      <c r="C1332" s="20" t="s">
        <v>11</v>
      </c>
      <c r="D1332" s="20">
        <v>0.03</v>
      </c>
      <c r="E1332" s="44">
        <f>SUM(F1328:F1331)</f>
        <v>0.98152108302986063</v>
      </c>
      <c r="F1332" s="206">
        <f t="shared" si="123"/>
        <v>2.9445632490895816E-2</v>
      </c>
      <c r="G1332" s="302"/>
      <c r="H1332" s="83"/>
      <c r="I1332" s="53"/>
      <c r="J1332" s="53"/>
      <c r="K1332" s="58"/>
    </row>
    <row r="1333" spans="1:11" s="3" customFormat="1" ht="12" customHeight="1" x14ac:dyDescent="0.2">
      <c r="A1333" s="205"/>
      <c r="B1333" s="15" t="s">
        <v>83</v>
      </c>
      <c r="C1333" s="20" t="s">
        <v>33</v>
      </c>
      <c r="D1333" s="20">
        <v>0.2</v>
      </c>
      <c r="E1333" s="44">
        <f>VLOOKUP(B1333,'Costo de Materiales'!B$4:D$350,3,FALSE)</f>
        <v>0.84211251580157165</v>
      </c>
      <c r="F1333" s="206">
        <f t="shared" si="123"/>
        <v>0.16842250316031435</v>
      </c>
      <c r="G1333" s="302"/>
      <c r="H1333" s="83"/>
      <c r="I1333" s="53"/>
      <c r="J1333" s="53"/>
      <c r="K1333" s="58"/>
    </row>
    <row r="1334" spans="1:11" s="3" customFormat="1" ht="12" customHeight="1" x14ac:dyDescent="0.2">
      <c r="A1334" s="205"/>
      <c r="B1334" s="15" t="s">
        <v>10</v>
      </c>
      <c r="C1334" s="20" t="s">
        <v>33</v>
      </c>
      <c r="D1334" s="20">
        <v>0.2</v>
      </c>
      <c r="E1334" s="44">
        <f>VLOOKUP(B1334,'Costo de Materiales'!B$4:D$350,3,FALSE)</f>
        <v>0.35088021491732146</v>
      </c>
      <c r="F1334" s="206">
        <f t="shared" si="123"/>
        <v>7.017604298346429E-2</v>
      </c>
      <c r="G1334" s="302"/>
      <c r="H1334" s="83"/>
      <c r="I1334" s="53"/>
      <c r="J1334" s="53"/>
      <c r="K1334" s="58"/>
    </row>
    <row r="1335" spans="1:11" s="3" customFormat="1" ht="12" customHeight="1" x14ac:dyDescent="0.2">
      <c r="A1335" s="207"/>
      <c r="B1335" s="27" t="s">
        <v>93</v>
      </c>
      <c r="C1335" s="28" t="s">
        <v>11</v>
      </c>
      <c r="D1335" s="80">
        <f>VLOOKUP(B1335,'Costo de Materiales'!B$4:D$350,3,FALSE)</f>
        <v>0.28999999999999998</v>
      </c>
      <c r="E1335" s="45">
        <f>SUM(F1333:F1334)</f>
        <v>0.23859854614377862</v>
      </c>
      <c r="F1335" s="208">
        <f t="shared" si="123"/>
        <v>6.9193578381695792E-2</v>
      </c>
      <c r="G1335" s="302"/>
      <c r="H1335" s="83"/>
      <c r="I1335" s="53"/>
      <c r="J1335" s="53"/>
      <c r="K1335" s="58"/>
    </row>
    <row r="1336" spans="1:11" s="1" customFormat="1" ht="12" customHeight="1" x14ac:dyDescent="0.2">
      <c r="A1336" s="209">
        <v>67</v>
      </c>
      <c r="B1336" s="93" t="s">
        <v>602</v>
      </c>
      <c r="C1336" s="95" t="s">
        <v>17</v>
      </c>
      <c r="D1336" s="95"/>
      <c r="E1336" s="94"/>
      <c r="F1336" s="210">
        <f>SUM(F1337:F1344)</f>
        <v>5.8636870228021127</v>
      </c>
      <c r="G1336" s="303"/>
      <c r="H1336" s="83"/>
      <c r="I1336" s="53"/>
      <c r="J1336" s="53"/>
      <c r="K1336" s="62"/>
    </row>
    <row r="1337" spans="1:11" s="3" customFormat="1" ht="12" customHeight="1" x14ac:dyDescent="0.2">
      <c r="A1337" s="205"/>
      <c r="B1337" s="15" t="s">
        <v>300</v>
      </c>
      <c r="C1337" s="20" t="s">
        <v>17</v>
      </c>
      <c r="D1337" s="20">
        <v>1</v>
      </c>
      <c r="E1337" s="44">
        <f>VLOOKUP(B1337,'Costo de Materiales'!B$4:D$350,3,FALSE)</f>
        <v>4.7847302034180199</v>
      </c>
      <c r="F1337" s="206">
        <f>D1337*E1337</f>
        <v>4.7847302034180199</v>
      </c>
      <c r="G1337" s="302"/>
      <c r="H1337" s="83"/>
      <c r="I1337" s="53"/>
      <c r="J1337" s="53"/>
      <c r="K1337" s="58"/>
    </row>
    <row r="1338" spans="1:11" s="3" customFormat="1" ht="12" customHeight="1" x14ac:dyDescent="0.2">
      <c r="A1338" s="205"/>
      <c r="B1338" s="12" t="s">
        <v>161</v>
      </c>
      <c r="C1338" s="20" t="s">
        <v>17</v>
      </c>
      <c r="D1338" s="20">
        <v>24</v>
      </c>
      <c r="E1338" s="44">
        <f>VLOOKUP(B1338,'Costo de Materiales'!B$4:D$350,3,FALSE)</f>
        <v>1.2440298528886853E-3</v>
      </c>
      <c r="F1338" s="206">
        <f t="shared" ref="F1338:F1344" si="124">D1338*E1338</f>
        <v>2.9856716469328446E-2</v>
      </c>
      <c r="G1338" s="302"/>
      <c r="H1338" s="83"/>
      <c r="I1338" s="53"/>
      <c r="J1338" s="53"/>
      <c r="K1338" s="58"/>
    </row>
    <row r="1339" spans="1:11" s="3" customFormat="1" ht="12" customHeight="1" x14ac:dyDescent="0.2">
      <c r="A1339" s="205"/>
      <c r="B1339" s="12" t="s">
        <v>301</v>
      </c>
      <c r="C1339" s="20" t="s">
        <v>17</v>
      </c>
      <c r="D1339" s="20">
        <v>24</v>
      </c>
      <c r="E1339" s="109">
        <f>VLOOKUP(B1339,'Costo de Materiales'!B$4:D$350,3,FALSE)</f>
        <v>4.6131479375966894E-4</v>
      </c>
      <c r="F1339" s="206">
        <f t="shared" si="124"/>
        <v>1.1071555050232055E-2</v>
      </c>
      <c r="G1339" s="302"/>
      <c r="H1339" s="83"/>
      <c r="I1339" s="53"/>
      <c r="J1339" s="53"/>
      <c r="K1339" s="58"/>
    </row>
    <row r="1340" spans="1:11" s="3" customFormat="1" ht="12" customHeight="1" x14ac:dyDescent="0.2">
      <c r="A1340" s="205"/>
      <c r="B1340" s="15" t="s">
        <v>227</v>
      </c>
      <c r="C1340" s="20" t="s">
        <v>17</v>
      </c>
      <c r="D1340" s="20">
        <v>1.2</v>
      </c>
      <c r="E1340" s="44">
        <f>VLOOKUP(B1340,'Costo de Materiales'!B$4:D$350,3,FALSE)</f>
        <v>0.10014440315753916</v>
      </c>
      <c r="F1340" s="206">
        <f t="shared" si="124"/>
        <v>0.12017328378904699</v>
      </c>
      <c r="G1340" s="302"/>
      <c r="H1340" s="83"/>
      <c r="I1340" s="53"/>
      <c r="J1340" s="53"/>
      <c r="K1340" s="58"/>
    </row>
    <row r="1341" spans="1:11" s="3" customFormat="1" ht="12" customHeight="1" x14ac:dyDescent="0.2">
      <c r="A1341" s="205"/>
      <c r="B1341" s="15" t="s">
        <v>111</v>
      </c>
      <c r="C1341" s="20" t="s">
        <v>11</v>
      </c>
      <c r="D1341" s="20">
        <v>0.03</v>
      </c>
      <c r="E1341" s="44">
        <f>SUM(F1337:F1340)</f>
        <v>4.9458317587266274</v>
      </c>
      <c r="F1341" s="206">
        <f t="shared" si="124"/>
        <v>0.14837495276179882</v>
      </c>
      <c r="G1341" s="302"/>
      <c r="H1341" s="83"/>
      <c r="I1341" s="53"/>
      <c r="J1341" s="53"/>
      <c r="K1341" s="58"/>
    </row>
    <row r="1342" spans="1:11" s="3" customFormat="1" ht="12" customHeight="1" x14ac:dyDescent="0.2">
      <c r="A1342" s="205"/>
      <c r="B1342" s="15" t="s">
        <v>83</v>
      </c>
      <c r="C1342" s="20" t="s">
        <v>33</v>
      </c>
      <c r="D1342" s="20">
        <v>0.5</v>
      </c>
      <c r="E1342" s="44">
        <f>VLOOKUP(B1342,'Costo de Materiales'!B$4:D$350,3,FALSE)</f>
        <v>0.84211251580157165</v>
      </c>
      <c r="F1342" s="206">
        <f t="shared" si="124"/>
        <v>0.42105625790078582</v>
      </c>
      <c r="G1342" s="302"/>
      <c r="H1342" s="83"/>
      <c r="I1342" s="53"/>
      <c r="J1342" s="53"/>
      <c r="K1342" s="58"/>
    </row>
    <row r="1343" spans="1:11" s="3" customFormat="1" ht="12" customHeight="1" x14ac:dyDescent="0.2">
      <c r="A1343" s="205"/>
      <c r="B1343" s="15" t="s">
        <v>10</v>
      </c>
      <c r="C1343" s="20" t="s">
        <v>33</v>
      </c>
      <c r="D1343" s="20">
        <v>0.5</v>
      </c>
      <c r="E1343" s="44">
        <f>VLOOKUP(B1343,'Costo de Materiales'!B$4:D$350,3,FALSE)</f>
        <v>0.35088021491732146</v>
      </c>
      <c r="F1343" s="206">
        <f t="shared" si="124"/>
        <v>0.17544010745866073</v>
      </c>
      <c r="G1343" s="302"/>
      <c r="H1343" s="83"/>
      <c r="I1343" s="53"/>
      <c r="J1343" s="53"/>
      <c r="K1343" s="58"/>
    </row>
    <row r="1344" spans="1:11" s="3" customFormat="1" ht="12" customHeight="1" x14ac:dyDescent="0.2">
      <c r="A1344" s="207"/>
      <c r="B1344" s="27" t="s">
        <v>93</v>
      </c>
      <c r="C1344" s="28" t="s">
        <v>11</v>
      </c>
      <c r="D1344" s="103">
        <f>VLOOKUP(B1344,'Costo de Materiales'!B$4:D$350,3,FALSE)</f>
        <v>0.28999999999999998</v>
      </c>
      <c r="E1344" s="45">
        <f>SUM(F1342:F1343)</f>
        <v>0.59649636535944661</v>
      </c>
      <c r="F1344" s="208">
        <f t="shared" si="124"/>
        <v>0.17298394595423949</v>
      </c>
      <c r="G1344" s="307"/>
      <c r="H1344" s="83"/>
      <c r="I1344" s="53"/>
      <c r="J1344" s="53"/>
      <c r="K1344" s="58"/>
    </row>
    <row r="1345" spans="1:11" s="1" customFormat="1" ht="12" customHeight="1" x14ac:dyDescent="0.2">
      <c r="A1345" s="209">
        <v>68</v>
      </c>
      <c r="B1345" s="93" t="s">
        <v>600</v>
      </c>
      <c r="C1345" s="95" t="s">
        <v>17</v>
      </c>
      <c r="D1345" s="95"/>
      <c r="E1345" s="94"/>
      <c r="F1345" s="210">
        <f>SUM(F1346:F1353)</f>
        <v>5.4281265075857057</v>
      </c>
      <c r="G1345" s="302"/>
      <c r="H1345" s="83"/>
      <c r="I1345" s="53"/>
      <c r="J1345" s="53"/>
      <c r="K1345" s="62"/>
    </row>
    <row r="1346" spans="1:11" s="3" customFormat="1" ht="12" customHeight="1" x14ac:dyDescent="0.2">
      <c r="A1346" s="205"/>
      <c r="B1346" s="15" t="s">
        <v>598</v>
      </c>
      <c r="C1346" s="20" t="s">
        <v>17</v>
      </c>
      <c r="D1346" s="20">
        <v>1</v>
      </c>
      <c r="E1346" s="44">
        <f>VLOOKUP(B1346,'Costo de Materiales'!B$4:D$350,3,FALSE)</f>
        <v>4.3796946934819481</v>
      </c>
      <c r="F1346" s="206">
        <f>D1346*E1346</f>
        <v>4.3796946934819481</v>
      </c>
      <c r="G1346" s="302"/>
      <c r="H1346" s="83"/>
      <c r="I1346" s="53"/>
      <c r="J1346" s="53"/>
      <c r="K1346" s="58"/>
    </row>
    <row r="1347" spans="1:11" s="3" customFormat="1" ht="12" customHeight="1" x14ac:dyDescent="0.2">
      <c r="A1347" s="205"/>
      <c r="B1347" s="12" t="s">
        <v>161</v>
      </c>
      <c r="C1347" s="20" t="s">
        <v>17</v>
      </c>
      <c r="D1347" s="20">
        <v>10</v>
      </c>
      <c r="E1347" s="44">
        <f>VLOOKUP(B1347,'Costo de Materiales'!B$4:D$350,3,FALSE)</f>
        <v>1.2440298528886853E-3</v>
      </c>
      <c r="F1347" s="206">
        <f t="shared" ref="F1347:F1353" si="125">D1347*E1347</f>
        <v>1.2440298528886853E-2</v>
      </c>
      <c r="G1347" s="302"/>
      <c r="H1347" s="83"/>
      <c r="I1347" s="53"/>
      <c r="J1347" s="53"/>
      <c r="K1347" s="58"/>
    </row>
    <row r="1348" spans="1:11" s="3" customFormat="1" ht="12" customHeight="1" x14ac:dyDescent="0.2">
      <c r="A1348" s="205"/>
      <c r="B1348" s="12" t="s">
        <v>301</v>
      </c>
      <c r="C1348" s="20" t="s">
        <v>17</v>
      </c>
      <c r="D1348" s="20">
        <v>10</v>
      </c>
      <c r="E1348" s="109">
        <f>VLOOKUP(B1348,'Costo de Materiales'!B$4:D$350,3,FALSE)</f>
        <v>4.6131479375966894E-4</v>
      </c>
      <c r="F1348" s="206">
        <f t="shared" si="125"/>
        <v>4.6131479375966893E-3</v>
      </c>
      <c r="G1348" s="302"/>
      <c r="H1348" s="83"/>
      <c r="I1348" s="53"/>
      <c r="J1348" s="53"/>
      <c r="K1348" s="58"/>
    </row>
    <row r="1349" spans="1:11" s="3" customFormat="1" ht="12" customHeight="1" x14ac:dyDescent="0.2">
      <c r="A1349" s="205"/>
      <c r="B1349" s="15" t="s">
        <v>227</v>
      </c>
      <c r="C1349" s="20" t="s">
        <v>17</v>
      </c>
      <c r="D1349" s="20">
        <v>0.4</v>
      </c>
      <c r="E1349" s="44">
        <f>VLOOKUP(B1349,'Costo de Materiales'!B$4:D$350,3,FALSE)</f>
        <v>0.10014440315753916</v>
      </c>
      <c r="F1349" s="206">
        <f t="shared" si="125"/>
        <v>4.0057761263015662E-2</v>
      </c>
      <c r="G1349" s="302"/>
      <c r="H1349" s="83"/>
      <c r="I1349" s="53"/>
      <c r="J1349" s="53"/>
      <c r="K1349" s="58"/>
    </row>
    <row r="1350" spans="1:11" s="3" customFormat="1" ht="12" customHeight="1" x14ac:dyDescent="0.2">
      <c r="A1350" s="205"/>
      <c r="B1350" s="15" t="s">
        <v>111</v>
      </c>
      <c r="C1350" s="20" t="s">
        <v>11</v>
      </c>
      <c r="D1350" s="20">
        <v>0.05</v>
      </c>
      <c r="E1350" s="44">
        <f>SUM(F1346:F1349)</f>
        <v>4.4368059012114465</v>
      </c>
      <c r="F1350" s="206">
        <f t="shared" si="125"/>
        <v>0.22184029506057235</v>
      </c>
      <c r="G1350" s="302"/>
      <c r="H1350" s="83"/>
      <c r="I1350" s="53"/>
      <c r="J1350" s="53"/>
      <c r="K1350" s="58"/>
    </row>
    <row r="1351" spans="1:11" s="3" customFormat="1" ht="12" customHeight="1" x14ac:dyDescent="0.2">
      <c r="A1351" s="205"/>
      <c r="B1351" s="15" t="s">
        <v>83</v>
      </c>
      <c r="C1351" s="20" t="s">
        <v>33</v>
      </c>
      <c r="D1351" s="20">
        <v>0.5</v>
      </c>
      <c r="E1351" s="44">
        <f>VLOOKUP(B1351,'Costo de Materiales'!B$4:D$350,3,FALSE)</f>
        <v>0.84211251580157165</v>
      </c>
      <c r="F1351" s="206">
        <f t="shared" si="125"/>
        <v>0.42105625790078582</v>
      </c>
      <c r="G1351" s="302"/>
      <c r="H1351" s="83"/>
      <c r="I1351" s="53"/>
      <c r="J1351" s="53"/>
      <c r="K1351" s="58"/>
    </row>
    <row r="1352" spans="1:11" s="3" customFormat="1" ht="12" customHeight="1" x14ac:dyDescent="0.2">
      <c r="A1352" s="205"/>
      <c r="B1352" s="15" t="s">
        <v>10</v>
      </c>
      <c r="C1352" s="20" t="s">
        <v>33</v>
      </c>
      <c r="D1352" s="20">
        <v>0.5</v>
      </c>
      <c r="E1352" s="44">
        <f>VLOOKUP(B1352,'Costo de Materiales'!B$4:D$350,3,FALSE)</f>
        <v>0.35088021491732146</v>
      </c>
      <c r="F1352" s="206">
        <f t="shared" si="125"/>
        <v>0.17544010745866073</v>
      </c>
      <c r="G1352" s="302"/>
      <c r="H1352" s="83"/>
      <c r="I1352" s="53"/>
      <c r="J1352" s="53"/>
      <c r="K1352" s="58"/>
    </row>
    <row r="1353" spans="1:11" s="3" customFormat="1" ht="12" customHeight="1" x14ac:dyDescent="0.2">
      <c r="A1353" s="207"/>
      <c r="B1353" s="27" t="s">
        <v>93</v>
      </c>
      <c r="C1353" s="28" t="s">
        <v>11</v>
      </c>
      <c r="D1353" s="80">
        <f>VLOOKUP(B1353,'Costo de Materiales'!B$4:D$350,3,FALSE)</f>
        <v>0.28999999999999998</v>
      </c>
      <c r="E1353" s="45">
        <f>SUM(F1351:F1352)</f>
        <v>0.59649636535944661</v>
      </c>
      <c r="F1353" s="208">
        <f t="shared" si="125"/>
        <v>0.17298394595423949</v>
      </c>
      <c r="G1353" s="302"/>
      <c r="H1353" s="83"/>
      <c r="I1353" s="53"/>
      <c r="J1353" s="53"/>
      <c r="K1353" s="58"/>
    </row>
    <row r="1354" spans="1:11" ht="12" customHeight="1" x14ac:dyDescent="0.2">
      <c r="A1354" s="209">
        <v>69</v>
      </c>
      <c r="B1354" s="88" t="s">
        <v>601</v>
      </c>
      <c r="C1354" s="91" t="s">
        <v>38</v>
      </c>
      <c r="D1354" s="91"/>
      <c r="E1354" s="100"/>
      <c r="F1354" s="210">
        <f>SUM(F1355:F1362)</f>
        <v>2.7039675229625413</v>
      </c>
      <c r="G1354" s="311"/>
      <c r="H1354" s="147"/>
      <c r="I1354" s="84"/>
      <c r="K1354"/>
    </row>
    <row r="1355" spans="1:11" ht="12" customHeight="1" x14ac:dyDescent="0.2">
      <c r="A1355" s="211"/>
      <c r="B1355" s="15" t="s">
        <v>599</v>
      </c>
      <c r="C1355" s="20" t="s">
        <v>17</v>
      </c>
      <c r="D1355" s="20">
        <v>1</v>
      </c>
      <c r="E1355" s="44">
        <f>VLOOKUP(B1355,'Costo de Materiales'!B$4:D$350,3,FALSE)</f>
        <v>2.0964194516411623</v>
      </c>
      <c r="F1355" s="234">
        <f>D1355*E1355</f>
        <v>2.0964194516411623</v>
      </c>
      <c r="G1355" s="310"/>
      <c r="H1355" s="147"/>
      <c r="I1355" s="84"/>
      <c r="K1355"/>
    </row>
    <row r="1356" spans="1:11" ht="12" customHeight="1" x14ac:dyDescent="0.2">
      <c r="A1356" s="211"/>
      <c r="B1356" s="10" t="s">
        <v>161</v>
      </c>
      <c r="C1356" s="20" t="s">
        <v>17</v>
      </c>
      <c r="D1356" s="20">
        <v>12</v>
      </c>
      <c r="E1356" s="44">
        <f>VLOOKUP(B1356,'Costo de Materiales'!B$4:D$350,3,FALSE)</f>
        <v>1.2440298528886853E-3</v>
      </c>
      <c r="F1356" s="234">
        <f t="shared" ref="F1356:F1362" si="126">D1356*E1356</f>
        <v>1.4928358234664223E-2</v>
      </c>
      <c r="G1356" s="310"/>
      <c r="H1356" s="147"/>
      <c r="I1356" s="84"/>
      <c r="K1356"/>
    </row>
    <row r="1357" spans="1:11" ht="12" customHeight="1" x14ac:dyDescent="0.2">
      <c r="A1357" s="211"/>
      <c r="B1357" s="10" t="s">
        <v>301</v>
      </c>
      <c r="C1357" s="20" t="s">
        <v>17</v>
      </c>
      <c r="D1357" s="20">
        <v>12</v>
      </c>
      <c r="E1357" s="109">
        <f>VLOOKUP(B1357,'Costo de Materiales'!B$4:D$350,3,FALSE)</f>
        <v>4.6131479375966894E-4</v>
      </c>
      <c r="F1357" s="234">
        <f t="shared" si="126"/>
        <v>5.5357775251160275E-3</v>
      </c>
      <c r="G1357" s="310"/>
      <c r="H1357" s="147"/>
      <c r="I1357" s="84"/>
      <c r="K1357"/>
    </row>
    <row r="1358" spans="1:11" ht="12" customHeight="1" x14ac:dyDescent="0.2">
      <c r="A1358" s="211"/>
      <c r="B1358" s="15" t="s">
        <v>227</v>
      </c>
      <c r="C1358" s="20" t="s">
        <v>17</v>
      </c>
      <c r="D1358" s="20">
        <v>0.6</v>
      </c>
      <c r="E1358" s="44">
        <f>VLOOKUP(B1358,'Costo de Materiales'!B$4:D$350,3,FALSE)</f>
        <v>0.10014440315753916</v>
      </c>
      <c r="F1358" s="234">
        <f t="shared" si="126"/>
        <v>6.0086641894523493E-2</v>
      </c>
      <c r="G1358" s="310"/>
      <c r="H1358" s="147"/>
      <c r="I1358" s="84"/>
      <c r="K1358"/>
    </row>
    <row r="1359" spans="1:11" ht="12" customHeight="1" x14ac:dyDescent="0.2">
      <c r="A1359" s="211"/>
      <c r="B1359" s="15" t="s">
        <v>111</v>
      </c>
      <c r="C1359" s="20" t="s">
        <v>11</v>
      </c>
      <c r="D1359" s="20">
        <v>0.03</v>
      </c>
      <c r="E1359" s="44">
        <f>SUM(F1355:F1358)</f>
        <v>2.176970229295466</v>
      </c>
      <c r="F1359" s="234">
        <f t="shared" si="126"/>
        <v>6.5309106878863973E-2</v>
      </c>
      <c r="G1359" s="310"/>
      <c r="H1359" s="147"/>
      <c r="I1359" s="84"/>
      <c r="K1359"/>
    </row>
    <row r="1360" spans="1:11" ht="12" customHeight="1" x14ac:dyDescent="0.2">
      <c r="A1360" s="211"/>
      <c r="B1360" s="15" t="s">
        <v>83</v>
      </c>
      <c r="C1360" s="20" t="s">
        <v>33</v>
      </c>
      <c r="D1360" s="20">
        <v>0.3</v>
      </c>
      <c r="E1360" s="44">
        <f>VLOOKUP(B1360,'Costo de Materiales'!B$4:D$350,3,FALSE)</f>
        <v>0.84211251580157165</v>
      </c>
      <c r="F1360" s="234">
        <f t="shared" si="126"/>
        <v>0.25263375474047151</v>
      </c>
      <c r="G1360" s="310"/>
      <c r="H1360" s="147"/>
      <c r="I1360" s="84"/>
      <c r="K1360"/>
    </row>
    <row r="1361" spans="1:23" ht="12" customHeight="1" x14ac:dyDescent="0.2">
      <c r="A1361" s="211"/>
      <c r="B1361" s="15" t="s">
        <v>10</v>
      </c>
      <c r="C1361" s="20" t="s">
        <v>33</v>
      </c>
      <c r="D1361" s="20">
        <v>0.3</v>
      </c>
      <c r="E1361" s="44">
        <f>VLOOKUP(B1361,'Costo de Materiales'!B$4:D$350,3,FALSE)</f>
        <v>0.35088021491732146</v>
      </c>
      <c r="F1361" s="234">
        <f t="shared" si="126"/>
        <v>0.10526406447519644</v>
      </c>
      <c r="G1361" s="310"/>
      <c r="H1361" s="147"/>
      <c r="I1361" s="84"/>
      <c r="K1361"/>
    </row>
    <row r="1362" spans="1:23" ht="12" customHeight="1" x14ac:dyDescent="0.2">
      <c r="A1362" s="212"/>
      <c r="B1362" s="27" t="s">
        <v>93</v>
      </c>
      <c r="C1362" s="28" t="s">
        <v>11</v>
      </c>
      <c r="D1362" s="28">
        <v>0.28999999999999998</v>
      </c>
      <c r="E1362" s="45">
        <f>SUM(F1360:F1361)</f>
        <v>0.35789781921566793</v>
      </c>
      <c r="F1362" s="235">
        <f t="shared" si="126"/>
        <v>0.10379036757254369</v>
      </c>
      <c r="G1362" s="312"/>
      <c r="H1362" s="147"/>
      <c r="I1362" s="84"/>
      <c r="K1362"/>
    </row>
    <row r="1363" spans="1:23" s="1" customFormat="1" ht="12" customHeight="1" x14ac:dyDescent="0.2">
      <c r="A1363" s="209">
        <v>70</v>
      </c>
      <c r="B1363" s="93" t="s">
        <v>219</v>
      </c>
      <c r="C1363" s="91" t="s">
        <v>38</v>
      </c>
      <c r="D1363" s="95"/>
      <c r="E1363" s="94"/>
      <c r="F1363" s="210">
        <f>SUM(F1364:F1368)</f>
        <v>0.52278705271145876</v>
      </c>
      <c r="G1363" s="303"/>
      <c r="H1363" s="83"/>
      <c r="I1363" s="53"/>
      <c r="J1363" s="53"/>
      <c r="K1363" s="62"/>
    </row>
    <row r="1364" spans="1:23" s="3" customFormat="1" ht="12" customHeight="1" x14ac:dyDescent="0.2">
      <c r="A1364" s="205"/>
      <c r="B1364" s="12" t="s">
        <v>297</v>
      </c>
      <c r="C1364" s="11" t="s">
        <v>38</v>
      </c>
      <c r="D1364" s="20">
        <v>1</v>
      </c>
      <c r="E1364" s="44">
        <f>VLOOKUP(B1364,'Costo de Materiales'!B$4:D$350,3,FALSE)</f>
        <v>0.3423474460545593</v>
      </c>
      <c r="F1364" s="206">
        <f>D1364*E1364</f>
        <v>0.3423474460545593</v>
      </c>
      <c r="G1364" s="302"/>
      <c r="H1364" s="83"/>
      <c r="I1364" s="53"/>
      <c r="J1364" s="53"/>
      <c r="K1364" s="58"/>
    </row>
    <row r="1365" spans="1:23" s="3" customFormat="1" ht="12" customHeight="1" x14ac:dyDescent="0.2">
      <c r="A1365" s="205"/>
      <c r="B1365" s="15" t="s">
        <v>227</v>
      </c>
      <c r="C1365" s="11" t="s">
        <v>17</v>
      </c>
      <c r="D1365" s="20">
        <v>7.0000000000000007E-2</v>
      </c>
      <c r="E1365" s="44">
        <f>VLOOKUP(B1365,'Costo de Materiales'!B$4:D$350,3,FALSE)</f>
        <v>0.10014440315753916</v>
      </c>
      <c r="F1365" s="206">
        <f>D1365*E1365</f>
        <v>7.0101082210277414E-3</v>
      </c>
      <c r="G1365" s="302"/>
      <c r="H1365" s="83"/>
      <c r="I1365" s="53"/>
      <c r="J1365" s="53"/>
      <c r="K1365" s="58"/>
    </row>
    <row r="1366" spans="1:23" s="3" customFormat="1" ht="12" customHeight="1" x14ac:dyDescent="0.2">
      <c r="A1366" s="205"/>
      <c r="B1366" s="15" t="s">
        <v>111</v>
      </c>
      <c r="C1366" s="11" t="s">
        <v>11</v>
      </c>
      <c r="D1366" s="20">
        <v>0.03</v>
      </c>
      <c r="E1366" s="44">
        <f>SUM(F1364:F1365)</f>
        <v>0.34935755427558707</v>
      </c>
      <c r="F1366" s="206">
        <f>D1366*E1366</f>
        <v>1.0480726628267611E-2</v>
      </c>
      <c r="G1366" s="302"/>
      <c r="H1366" s="83"/>
      <c r="I1366" s="53"/>
      <c r="J1366" s="53"/>
      <c r="K1366" s="58"/>
    </row>
    <row r="1367" spans="1:23" s="3" customFormat="1" ht="12" customHeight="1" x14ac:dyDescent="0.2">
      <c r="A1367" s="205"/>
      <c r="B1367" s="15" t="s">
        <v>83</v>
      </c>
      <c r="C1367" s="11" t="s">
        <v>33</v>
      </c>
      <c r="D1367" s="20">
        <v>0.15</v>
      </c>
      <c r="E1367" s="44">
        <f>VLOOKUP(B1367,'Costo de Materiales'!B$4:D$350,3,FALSE)</f>
        <v>0.84211251580157165</v>
      </c>
      <c r="F1367" s="206">
        <f>D1367*E1367</f>
        <v>0.12631687737023575</v>
      </c>
      <c r="G1367" s="302"/>
      <c r="H1367" s="83"/>
      <c r="I1367" s="53"/>
      <c r="J1367" s="53"/>
      <c r="K1367" s="58"/>
    </row>
    <row r="1368" spans="1:23" s="3" customFormat="1" ht="12" customHeight="1" thickBot="1" x14ac:dyDescent="0.25">
      <c r="A1368" s="255"/>
      <c r="B1368" s="256" t="s">
        <v>109</v>
      </c>
      <c r="C1368" s="257" t="s">
        <v>11</v>
      </c>
      <c r="D1368" s="239">
        <f>VLOOKUP(B1368,'Costo de Materiales'!B$4:D$350,3,FALSE)</f>
        <v>0.28999999999999998</v>
      </c>
      <c r="E1368" s="258">
        <f>F1367</f>
        <v>0.12631687737023575</v>
      </c>
      <c r="F1368" s="241">
        <f>D1368*E1368</f>
        <v>3.6631894437368369E-2</v>
      </c>
      <c r="G1368" s="318"/>
      <c r="H1368" s="83"/>
      <c r="I1368" s="53"/>
      <c r="J1368" s="53"/>
      <c r="K1368" s="58"/>
    </row>
    <row r="1369" spans="1:23" ht="12" customHeight="1" x14ac:dyDescent="0.2">
      <c r="A1369" s="6"/>
      <c r="F1369" s="4"/>
      <c r="G1369" s="314"/>
      <c r="K1369" s="78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</row>
    <row r="1370" spans="1:23" ht="12" customHeight="1" thickBot="1" x14ac:dyDescent="0.25">
      <c r="A1370" s="6"/>
      <c r="F1370" s="4"/>
      <c r="G1370" s="314"/>
      <c r="K1370" s="78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</row>
    <row r="1371" spans="1:23" ht="27.75" customHeight="1" thickBot="1" x14ac:dyDescent="0.3">
      <c r="A1371" s="193" t="s">
        <v>673</v>
      </c>
      <c r="B1371" s="329" t="s">
        <v>670</v>
      </c>
      <c r="C1371" s="330"/>
      <c r="D1371" s="330"/>
      <c r="E1371" s="330"/>
      <c r="F1371" s="331"/>
      <c r="G1371" s="315"/>
      <c r="K1371" s="78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</row>
    <row r="1372" spans="1:23" s="41" customFormat="1" ht="12" customHeight="1" x14ac:dyDescent="0.2">
      <c r="A1372" s="263">
        <v>1</v>
      </c>
      <c r="B1372" s="264" t="s">
        <v>439</v>
      </c>
      <c r="C1372" s="265" t="s">
        <v>17</v>
      </c>
      <c r="D1372" s="265"/>
      <c r="E1372" s="266"/>
      <c r="F1372" s="269">
        <f>SUM(F1373:F1383)</f>
        <v>3.6521751772625808</v>
      </c>
      <c r="G1372" s="301"/>
      <c r="H1372" s="83"/>
      <c r="I1372" s="53"/>
      <c r="J1372" s="53"/>
      <c r="K1372" s="66"/>
    </row>
    <row r="1373" spans="1:23" s="41" customFormat="1" ht="12" customHeight="1" x14ac:dyDescent="0.2">
      <c r="A1373" s="205"/>
      <c r="B1373" s="12" t="s">
        <v>55</v>
      </c>
      <c r="C1373" s="11" t="s">
        <v>17</v>
      </c>
      <c r="D1373" s="11">
        <v>1</v>
      </c>
      <c r="E1373" s="44">
        <f>VLOOKUP(B1373,'Costo de Materiales'!B$4:D$350,3,FALSE)</f>
        <v>2.631601611879911</v>
      </c>
      <c r="F1373" s="206">
        <f>D1373*E1373</f>
        <v>2.631601611879911</v>
      </c>
      <c r="G1373" s="302"/>
      <c r="H1373" s="83"/>
      <c r="I1373" s="53"/>
      <c r="J1373" s="53"/>
      <c r="K1373" s="66"/>
    </row>
    <row r="1374" spans="1:23" s="41" customFormat="1" ht="12" customHeight="1" x14ac:dyDescent="0.2">
      <c r="A1374" s="205"/>
      <c r="B1374" s="10" t="s">
        <v>324</v>
      </c>
      <c r="C1374" s="11" t="s">
        <v>17</v>
      </c>
      <c r="D1374" s="11">
        <v>4</v>
      </c>
      <c r="E1374" s="44">
        <f>VLOOKUP(B1374,'Costo de Materiales'!B$4:D$350,3,FALSE)</f>
        <v>1.181828360244251E-2</v>
      </c>
      <c r="F1374" s="206">
        <f t="shared" ref="F1374:F1383" si="127">D1374*E1374</f>
        <v>4.7273134409770039E-2</v>
      </c>
      <c r="G1374" s="302"/>
      <c r="H1374" s="83"/>
      <c r="I1374" s="53"/>
      <c r="J1374" s="53"/>
      <c r="K1374" s="66"/>
    </row>
    <row r="1375" spans="1:23" s="41" customFormat="1" ht="12" customHeight="1" x14ac:dyDescent="0.2">
      <c r="A1375" s="205"/>
      <c r="B1375" s="12" t="s">
        <v>68</v>
      </c>
      <c r="C1375" s="11" t="s">
        <v>568</v>
      </c>
      <c r="D1375" s="11">
        <v>0.6</v>
      </c>
      <c r="E1375" s="44">
        <f>VLOOKUP(B1375,'Costo de Materiales'!B$4:D$350,3,FALSE)</f>
        <v>0.12977390915360384</v>
      </c>
      <c r="F1375" s="206">
        <f t="shared" si="127"/>
        <v>7.7864345492162299E-2</v>
      </c>
      <c r="G1375" s="302"/>
      <c r="H1375" s="83"/>
      <c r="I1375" s="53"/>
      <c r="J1375" s="53"/>
      <c r="K1375" s="66"/>
    </row>
    <row r="1376" spans="1:23" s="41" customFormat="1" ht="12" customHeight="1" x14ac:dyDescent="0.2">
      <c r="A1376" s="205"/>
      <c r="B1376" s="12" t="s">
        <v>78</v>
      </c>
      <c r="C1376" s="11" t="s">
        <v>17</v>
      </c>
      <c r="D1376" s="11">
        <v>1</v>
      </c>
      <c r="E1376" s="44">
        <f>VLOOKUP(B1376,'Costo de Materiales'!B$4:D$350,3,FALSE)</f>
        <v>8.8039035742891569E-2</v>
      </c>
      <c r="F1376" s="206">
        <f t="shared" si="127"/>
        <v>8.8039035742891569E-2</v>
      </c>
      <c r="G1376" s="302"/>
      <c r="H1376" s="83"/>
      <c r="I1376" s="53"/>
      <c r="J1376" s="53"/>
      <c r="K1376" s="66"/>
    </row>
    <row r="1377" spans="1:11" s="41" customFormat="1" ht="12" customHeight="1" x14ac:dyDescent="0.2">
      <c r="A1377" s="205"/>
      <c r="B1377" s="12" t="s">
        <v>405</v>
      </c>
      <c r="C1377" s="11" t="s">
        <v>17</v>
      </c>
      <c r="D1377" s="11">
        <v>1</v>
      </c>
      <c r="E1377" s="44">
        <f>VLOOKUP(B1377,'Costo de Materiales'!B$4:D$350,3,FALSE)</f>
        <v>0.1655038177362293</v>
      </c>
      <c r="F1377" s="206">
        <f t="shared" si="127"/>
        <v>0.1655038177362293</v>
      </c>
      <c r="G1377" s="302"/>
      <c r="H1377" s="83"/>
      <c r="I1377" s="53"/>
      <c r="J1377" s="53"/>
      <c r="K1377" s="66"/>
    </row>
    <row r="1378" spans="1:11" s="41" customFormat="1" ht="12" customHeight="1" x14ac:dyDescent="0.2">
      <c r="A1378" s="205"/>
      <c r="B1378" s="10" t="s">
        <v>275</v>
      </c>
      <c r="C1378" s="11" t="s">
        <v>18</v>
      </c>
      <c r="D1378" s="11">
        <v>0.1</v>
      </c>
      <c r="E1378" s="44">
        <f>VLOOKUP(B1378,'Costo de Materiales'!B$4:D$350,3,FALSE)</f>
        <v>0.41866389279907673</v>
      </c>
      <c r="F1378" s="206">
        <f t="shared" si="127"/>
        <v>4.1866389279907677E-2</v>
      </c>
      <c r="G1378" s="302"/>
      <c r="H1378" s="83"/>
      <c r="I1378" s="53"/>
      <c r="J1378" s="53"/>
      <c r="K1378" s="66"/>
    </row>
    <row r="1379" spans="1:11" s="41" customFormat="1" ht="12" customHeight="1" x14ac:dyDescent="0.2">
      <c r="A1379" s="205"/>
      <c r="B1379" s="12" t="s">
        <v>350</v>
      </c>
      <c r="C1379" s="11" t="s">
        <v>18</v>
      </c>
      <c r="D1379" s="11">
        <v>0.05</v>
      </c>
      <c r="E1379" s="44">
        <f>VLOOKUP(B1379,'Costo de Materiales'!B$4:D$350,3,FALSE)</f>
        <v>0.29756237135056668</v>
      </c>
      <c r="F1379" s="206">
        <f t="shared" si="127"/>
        <v>1.4878118567528334E-2</v>
      </c>
      <c r="G1379" s="302"/>
      <c r="H1379" s="83"/>
      <c r="I1379" s="53"/>
      <c r="J1379" s="53"/>
      <c r="K1379" s="66"/>
    </row>
    <row r="1380" spans="1:11" s="41" customFormat="1" ht="12" customHeight="1" x14ac:dyDescent="0.2">
      <c r="A1380" s="205"/>
      <c r="B1380" s="10" t="s">
        <v>111</v>
      </c>
      <c r="C1380" s="11" t="s">
        <v>11</v>
      </c>
      <c r="D1380" s="11">
        <v>0.01</v>
      </c>
      <c r="E1380" s="44">
        <f>SUM(F1373:F1379)</f>
        <v>3.0670264531083999</v>
      </c>
      <c r="F1380" s="206">
        <f t="shared" si="127"/>
        <v>3.0670264531083999E-2</v>
      </c>
      <c r="G1380" s="302"/>
      <c r="H1380" s="83"/>
      <c r="I1380" s="53"/>
      <c r="J1380" s="53"/>
      <c r="K1380" s="66"/>
    </row>
    <row r="1381" spans="1:11" s="41" customFormat="1" ht="12" customHeight="1" x14ac:dyDescent="0.2">
      <c r="A1381" s="205"/>
      <c r="B1381" s="12" t="s">
        <v>266</v>
      </c>
      <c r="C1381" s="11" t="s">
        <v>33</v>
      </c>
      <c r="D1381" s="11">
        <v>0.35</v>
      </c>
      <c r="E1381" s="44">
        <f>VLOOKUP(B1381,'Costo de Materiales'!B$4:D$350,3,FALSE)</f>
        <v>0.87720053729330372</v>
      </c>
      <c r="F1381" s="206">
        <f t="shared" si="127"/>
        <v>0.3070201880526563</v>
      </c>
      <c r="G1381" s="302"/>
      <c r="H1381" s="83"/>
      <c r="I1381" s="53"/>
      <c r="J1381" s="53"/>
      <c r="K1381" s="66"/>
    </row>
    <row r="1382" spans="1:11" s="41" customFormat="1" ht="12" customHeight="1" x14ac:dyDescent="0.2">
      <c r="A1382" s="205"/>
      <c r="B1382" s="10" t="s">
        <v>10</v>
      </c>
      <c r="C1382" s="11" t="s">
        <v>33</v>
      </c>
      <c r="D1382" s="11">
        <v>0.35</v>
      </c>
      <c r="E1382" s="44">
        <f>VLOOKUP(B1382,'Costo de Materiales'!B$4:D$350,3,FALSE)</f>
        <v>0.35088021491732146</v>
      </c>
      <c r="F1382" s="206">
        <f t="shared" si="127"/>
        <v>0.1228080752210625</v>
      </c>
      <c r="G1382" s="302"/>
      <c r="H1382" s="83"/>
      <c r="I1382" s="53"/>
      <c r="J1382" s="53"/>
      <c r="K1382" s="66"/>
    </row>
    <row r="1383" spans="1:11" s="41" customFormat="1" ht="12" customHeight="1" x14ac:dyDescent="0.2">
      <c r="A1383" s="207"/>
      <c r="B1383" s="26" t="s">
        <v>109</v>
      </c>
      <c r="C1383" s="23" t="s">
        <v>11</v>
      </c>
      <c r="D1383" s="80">
        <f>VLOOKUP(B1383,'Costo de Materiales'!B$4:D$350,3,FALSE)</f>
        <v>0.28999999999999998</v>
      </c>
      <c r="E1383" s="44">
        <f>SUM(F1381:F1382)</f>
        <v>0.42982826327371881</v>
      </c>
      <c r="F1383" s="206">
        <f t="shared" si="127"/>
        <v>0.12465019634937845</v>
      </c>
      <c r="G1383" s="307"/>
      <c r="H1383" s="83"/>
      <c r="I1383" s="53"/>
      <c r="J1383" s="53"/>
      <c r="K1383" s="66"/>
    </row>
    <row r="1384" spans="1:11" s="41" customFormat="1" ht="12" customHeight="1" x14ac:dyDescent="0.2">
      <c r="A1384" s="209">
        <v>2</v>
      </c>
      <c r="B1384" s="88" t="s">
        <v>555</v>
      </c>
      <c r="C1384" s="91" t="s">
        <v>17</v>
      </c>
      <c r="D1384" s="91"/>
      <c r="E1384" s="92"/>
      <c r="F1384" s="210">
        <f>SUM(F1385:F1395)</f>
        <v>4.0387813776987569</v>
      </c>
      <c r="G1384" s="302"/>
      <c r="H1384" s="83"/>
      <c r="I1384" s="53"/>
      <c r="J1384" s="53"/>
      <c r="K1384" s="66"/>
    </row>
    <row r="1385" spans="1:11" s="41" customFormat="1" ht="12" customHeight="1" x14ac:dyDescent="0.2">
      <c r="A1385" s="205"/>
      <c r="B1385" s="12" t="s">
        <v>321</v>
      </c>
      <c r="C1385" s="11" t="s">
        <v>17</v>
      </c>
      <c r="D1385" s="11">
        <v>1</v>
      </c>
      <c r="E1385" s="44">
        <f>VLOOKUP(B1385,'Costo de Materiales'!B$4:D$350,3,FALSE)</f>
        <v>3.0143800281533526</v>
      </c>
      <c r="F1385" s="206">
        <f>D1385*E1385</f>
        <v>3.0143800281533526</v>
      </c>
      <c r="G1385" s="302"/>
      <c r="H1385" s="83"/>
      <c r="I1385" s="53"/>
      <c r="J1385" s="53"/>
      <c r="K1385" s="66"/>
    </row>
    <row r="1386" spans="1:11" s="41" customFormat="1" ht="12" customHeight="1" x14ac:dyDescent="0.2">
      <c r="A1386" s="205"/>
      <c r="B1386" s="10" t="s">
        <v>324</v>
      </c>
      <c r="C1386" s="11" t="s">
        <v>17</v>
      </c>
      <c r="D1386" s="11">
        <v>4</v>
      </c>
      <c r="E1386" s="44">
        <f>VLOOKUP(B1386,'Costo de Materiales'!B$4:D$350,3,FALSE)</f>
        <v>1.181828360244251E-2</v>
      </c>
      <c r="F1386" s="206">
        <f t="shared" ref="F1386:F1395" si="128">D1386*E1386</f>
        <v>4.7273134409770039E-2</v>
      </c>
      <c r="G1386" s="302"/>
      <c r="H1386" s="83"/>
      <c r="I1386" s="53"/>
      <c r="J1386" s="53"/>
      <c r="K1386" s="66"/>
    </row>
    <row r="1387" spans="1:11" s="41" customFormat="1" ht="12" customHeight="1" x14ac:dyDescent="0.2">
      <c r="A1387" s="205"/>
      <c r="B1387" s="12" t="s">
        <v>68</v>
      </c>
      <c r="C1387" s="11" t="s">
        <v>568</v>
      </c>
      <c r="D1387" s="11">
        <v>0.6</v>
      </c>
      <c r="E1387" s="44">
        <f>VLOOKUP(B1387,'Costo de Materiales'!B$4:D$350,3,FALSE)</f>
        <v>0.12977390915360384</v>
      </c>
      <c r="F1387" s="206">
        <f t="shared" si="128"/>
        <v>7.7864345492162299E-2</v>
      </c>
      <c r="G1387" s="302"/>
      <c r="H1387" s="83"/>
      <c r="I1387" s="53"/>
      <c r="J1387" s="53"/>
      <c r="K1387" s="66"/>
    </row>
    <row r="1388" spans="1:11" s="41" customFormat="1" ht="12" customHeight="1" x14ac:dyDescent="0.2">
      <c r="A1388" s="205"/>
      <c r="B1388" s="12" t="s">
        <v>78</v>
      </c>
      <c r="C1388" s="11" t="s">
        <v>17</v>
      </c>
      <c r="D1388" s="11">
        <v>1</v>
      </c>
      <c r="E1388" s="44">
        <f>VLOOKUP(B1388,'Costo de Materiales'!B$4:D$350,3,FALSE)</f>
        <v>8.8039035742891569E-2</v>
      </c>
      <c r="F1388" s="206">
        <f t="shared" si="128"/>
        <v>8.8039035742891569E-2</v>
      </c>
      <c r="G1388" s="302"/>
      <c r="H1388" s="83"/>
      <c r="I1388" s="53"/>
      <c r="J1388" s="53"/>
      <c r="K1388" s="66"/>
    </row>
    <row r="1389" spans="1:11" s="41" customFormat="1" ht="12" customHeight="1" x14ac:dyDescent="0.2">
      <c r="A1389" s="205"/>
      <c r="B1389" s="12" t="s">
        <v>405</v>
      </c>
      <c r="C1389" s="11" t="s">
        <v>17</v>
      </c>
      <c r="D1389" s="11">
        <v>1</v>
      </c>
      <c r="E1389" s="44">
        <f>VLOOKUP(B1389,'Costo de Materiales'!B$4:D$350,3,FALSE)</f>
        <v>0.1655038177362293</v>
      </c>
      <c r="F1389" s="206">
        <f t="shared" si="128"/>
        <v>0.1655038177362293</v>
      </c>
      <c r="G1389" s="302"/>
      <c r="H1389" s="83"/>
      <c r="I1389" s="53"/>
      <c r="J1389" s="53"/>
      <c r="K1389" s="66"/>
    </row>
    <row r="1390" spans="1:11" s="41" customFormat="1" ht="12" customHeight="1" x14ac:dyDescent="0.2">
      <c r="A1390" s="205"/>
      <c r="B1390" s="10" t="s">
        <v>275</v>
      </c>
      <c r="C1390" s="11" t="s">
        <v>18</v>
      </c>
      <c r="D1390" s="11">
        <v>0.1</v>
      </c>
      <c r="E1390" s="44">
        <f>VLOOKUP(B1390,'Costo de Materiales'!B$4:D$350,3,FALSE)</f>
        <v>0.41866389279907673</v>
      </c>
      <c r="F1390" s="206">
        <f t="shared" si="128"/>
        <v>4.1866389279907677E-2</v>
      </c>
      <c r="G1390" s="302"/>
      <c r="H1390" s="83"/>
      <c r="I1390" s="53"/>
      <c r="J1390" s="53"/>
      <c r="K1390" s="66"/>
    </row>
    <row r="1391" spans="1:11" s="41" customFormat="1" ht="12" customHeight="1" x14ac:dyDescent="0.2">
      <c r="A1391" s="205"/>
      <c r="B1391" s="12" t="s">
        <v>350</v>
      </c>
      <c r="C1391" s="11" t="s">
        <v>18</v>
      </c>
      <c r="D1391" s="11">
        <v>0.05</v>
      </c>
      <c r="E1391" s="44">
        <f>VLOOKUP(B1391,'Costo de Materiales'!B$4:D$350,3,FALSE)</f>
        <v>0.29756237135056668</v>
      </c>
      <c r="F1391" s="206">
        <f t="shared" si="128"/>
        <v>1.4878118567528334E-2</v>
      </c>
      <c r="G1391" s="302"/>
      <c r="H1391" s="83"/>
      <c r="I1391" s="53"/>
      <c r="J1391" s="53"/>
      <c r="K1391" s="66"/>
    </row>
    <row r="1392" spans="1:11" s="41" customFormat="1" ht="12" customHeight="1" x14ac:dyDescent="0.2">
      <c r="A1392" s="205"/>
      <c r="B1392" s="10" t="s">
        <v>111</v>
      </c>
      <c r="C1392" s="11" t="s">
        <v>11</v>
      </c>
      <c r="D1392" s="11">
        <v>0.01</v>
      </c>
      <c r="E1392" s="44">
        <f>SUM(F1385:F1391)</f>
        <v>3.4498048693818415</v>
      </c>
      <c r="F1392" s="206">
        <f t="shared" si="128"/>
        <v>3.4498048693818416E-2</v>
      </c>
      <c r="G1392" s="302"/>
      <c r="H1392" s="83"/>
      <c r="I1392" s="53"/>
      <c r="J1392" s="53"/>
      <c r="K1392" s="66"/>
    </row>
    <row r="1393" spans="1:11" s="41" customFormat="1" ht="12" customHeight="1" x14ac:dyDescent="0.2">
      <c r="A1393" s="205"/>
      <c r="B1393" s="12" t="s">
        <v>266</v>
      </c>
      <c r="C1393" s="11" t="s">
        <v>33</v>
      </c>
      <c r="D1393" s="11">
        <v>0.35</v>
      </c>
      <c r="E1393" s="44">
        <f>VLOOKUP(B1393,'Costo de Materiales'!B$4:D$350,3,FALSE)</f>
        <v>0.87720053729330372</v>
      </c>
      <c r="F1393" s="206">
        <f t="shared" si="128"/>
        <v>0.3070201880526563</v>
      </c>
      <c r="G1393" s="302"/>
      <c r="H1393" s="83"/>
      <c r="I1393" s="53"/>
      <c r="J1393" s="53"/>
      <c r="K1393" s="66"/>
    </row>
    <row r="1394" spans="1:11" s="41" customFormat="1" ht="12" customHeight="1" x14ac:dyDescent="0.2">
      <c r="A1394" s="205"/>
      <c r="B1394" s="10" t="s">
        <v>10</v>
      </c>
      <c r="C1394" s="11" t="s">
        <v>33</v>
      </c>
      <c r="D1394" s="11">
        <v>0.35</v>
      </c>
      <c r="E1394" s="44">
        <f>VLOOKUP(B1394,'Costo de Materiales'!B$4:D$350,3,FALSE)</f>
        <v>0.35088021491732146</v>
      </c>
      <c r="F1394" s="206">
        <f t="shared" si="128"/>
        <v>0.1228080752210625</v>
      </c>
      <c r="G1394" s="302"/>
      <c r="H1394" s="83"/>
      <c r="I1394" s="53"/>
      <c r="J1394" s="53"/>
      <c r="K1394" s="66"/>
    </row>
    <row r="1395" spans="1:11" s="41" customFormat="1" ht="12" customHeight="1" x14ac:dyDescent="0.2">
      <c r="A1395" s="207"/>
      <c r="B1395" s="26" t="s">
        <v>109</v>
      </c>
      <c r="C1395" s="23" t="s">
        <v>11</v>
      </c>
      <c r="D1395" s="103">
        <f>VLOOKUP(B1395,'Costo de Materiales'!B$4:D$350,3,FALSE)</f>
        <v>0.28999999999999998</v>
      </c>
      <c r="E1395" s="45">
        <f>SUM(F1393:F1394)</f>
        <v>0.42982826327371881</v>
      </c>
      <c r="F1395" s="208">
        <f t="shared" si="128"/>
        <v>0.12465019634937845</v>
      </c>
      <c r="G1395" s="302"/>
      <c r="H1395" s="83"/>
      <c r="I1395" s="53"/>
      <c r="J1395" s="53"/>
      <c r="K1395" s="66"/>
    </row>
    <row r="1396" spans="1:11" s="40" customFormat="1" ht="12" customHeight="1" x14ac:dyDescent="0.2">
      <c r="A1396" s="209">
        <v>3</v>
      </c>
      <c r="B1396" s="96" t="s">
        <v>349</v>
      </c>
      <c r="C1396" s="91" t="s">
        <v>568</v>
      </c>
      <c r="D1396" s="91"/>
      <c r="E1396" s="97"/>
      <c r="F1396" s="210">
        <f>SUM(F1397:F1403)</f>
        <v>0.23347149227378161</v>
      </c>
      <c r="G1396" s="302"/>
      <c r="H1396" s="83"/>
      <c r="I1396" s="53"/>
      <c r="J1396" s="53"/>
      <c r="K1396" s="67"/>
    </row>
    <row r="1397" spans="1:11" s="39" customFormat="1" ht="12" customHeight="1" x14ac:dyDescent="0.2">
      <c r="A1397" s="216"/>
      <c r="B1397" s="10" t="s">
        <v>68</v>
      </c>
      <c r="C1397" s="21" t="s">
        <v>568</v>
      </c>
      <c r="D1397" s="21">
        <v>1.05</v>
      </c>
      <c r="E1397" s="46">
        <f>VLOOKUP(B1397,'Costo de Materiales'!B$4:D$350,3,FALSE)</f>
        <v>0.12977390915360384</v>
      </c>
      <c r="F1397" s="217">
        <f t="shared" ref="F1397:F1403" si="129">D1397*E1397</f>
        <v>0.13626260461128403</v>
      </c>
      <c r="G1397" s="302"/>
      <c r="H1397" s="83"/>
      <c r="I1397" s="53"/>
      <c r="J1397" s="53"/>
      <c r="K1397" s="68"/>
    </row>
    <row r="1398" spans="1:11" s="39" customFormat="1" ht="12" customHeight="1" x14ac:dyDescent="0.2">
      <c r="A1398" s="216"/>
      <c r="B1398" s="10" t="s">
        <v>350</v>
      </c>
      <c r="C1398" s="21" t="s">
        <v>18</v>
      </c>
      <c r="D1398" s="21">
        <v>3.0000000000000001E-3</v>
      </c>
      <c r="E1398" s="46">
        <f>VLOOKUP(B1398,'Costo de Materiales'!B$4:D$350,3,FALSE)</f>
        <v>0.29756237135056668</v>
      </c>
      <c r="F1398" s="217">
        <f t="shared" si="129"/>
        <v>8.9268711405170002E-4</v>
      </c>
      <c r="G1398" s="302"/>
      <c r="H1398" s="83"/>
      <c r="I1398" s="53"/>
      <c r="J1398" s="53"/>
      <c r="K1398" s="68"/>
    </row>
    <row r="1399" spans="1:11" s="39" customFormat="1" ht="12" customHeight="1" x14ac:dyDescent="0.2">
      <c r="A1399" s="216"/>
      <c r="B1399" s="16" t="s">
        <v>275</v>
      </c>
      <c r="C1399" s="21" t="s">
        <v>18</v>
      </c>
      <c r="D1399" s="21">
        <v>0.02</v>
      </c>
      <c r="E1399" s="46">
        <f>VLOOKUP(B1399,'Costo de Materiales'!B$4:D$350,3,FALSE)</f>
        <v>0.41866389279907673</v>
      </c>
      <c r="F1399" s="217">
        <f t="shared" si="129"/>
        <v>8.3732778559815341E-3</v>
      </c>
      <c r="G1399" s="302"/>
      <c r="H1399" s="83"/>
      <c r="I1399" s="53"/>
      <c r="J1399" s="53"/>
      <c r="K1399" s="68"/>
    </row>
    <row r="1400" spans="1:11" s="39" customFormat="1" ht="12" customHeight="1" x14ac:dyDescent="0.2">
      <c r="A1400" s="216"/>
      <c r="B1400" s="37" t="s">
        <v>111</v>
      </c>
      <c r="C1400" s="21" t="s">
        <v>11</v>
      </c>
      <c r="D1400" s="21">
        <v>0.06</v>
      </c>
      <c r="E1400" s="46">
        <f>SUM(F1397:F1399)</f>
        <v>0.14552856958131727</v>
      </c>
      <c r="F1400" s="217">
        <f t="shared" si="129"/>
        <v>8.7317141748790364E-3</v>
      </c>
      <c r="G1400" s="302"/>
      <c r="H1400" s="83"/>
      <c r="I1400" s="53"/>
      <c r="J1400" s="53"/>
      <c r="K1400" s="68"/>
    </row>
    <row r="1401" spans="1:11" s="39" customFormat="1" ht="12" customHeight="1" x14ac:dyDescent="0.2">
      <c r="A1401" s="216"/>
      <c r="B1401" s="37" t="s">
        <v>266</v>
      </c>
      <c r="C1401" s="21" t="s">
        <v>33</v>
      </c>
      <c r="D1401" s="21">
        <v>0.05</v>
      </c>
      <c r="E1401" s="46">
        <f>VLOOKUP(B1401,'Costo de Materiales'!B$4:D$350,3,FALSE)</f>
        <v>0.87720053729330372</v>
      </c>
      <c r="F1401" s="217">
        <f t="shared" si="129"/>
        <v>4.386002686466519E-2</v>
      </c>
      <c r="G1401" s="302"/>
      <c r="H1401" s="83"/>
      <c r="I1401" s="53"/>
      <c r="J1401" s="53"/>
      <c r="K1401" s="68"/>
    </row>
    <row r="1402" spans="1:11" s="39" customFormat="1" ht="12" customHeight="1" x14ac:dyDescent="0.2">
      <c r="A1402" s="216"/>
      <c r="B1402" s="37" t="s">
        <v>10</v>
      </c>
      <c r="C1402" s="21" t="s">
        <v>33</v>
      </c>
      <c r="D1402" s="21">
        <v>0.05</v>
      </c>
      <c r="E1402" s="46">
        <f>VLOOKUP(B1402,'Costo de Materiales'!B$4:D$350,3,FALSE)</f>
        <v>0.35088021491732146</v>
      </c>
      <c r="F1402" s="217">
        <f t="shared" si="129"/>
        <v>1.7544010745866073E-2</v>
      </c>
      <c r="G1402" s="302"/>
      <c r="H1402" s="83"/>
      <c r="I1402" s="53"/>
      <c r="J1402" s="53"/>
      <c r="K1402" s="68"/>
    </row>
    <row r="1403" spans="1:11" s="39" customFormat="1" ht="12" customHeight="1" x14ac:dyDescent="0.2">
      <c r="A1403" s="218"/>
      <c r="B1403" s="22" t="s">
        <v>109</v>
      </c>
      <c r="C1403" s="32" t="s">
        <v>11</v>
      </c>
      <c r="D1403" s="80">
        <f>VLOOKUP(B1403,'Costo de Materiales'!B$4:D$350,3,FALSE)</f>
        <v>0.28999999999999998</v>
      </c>
      <c r="E1403" s="47">
        <f>SUM(F1401:F1402)</f>
        <v>6.1404037610531259E-2</v>
      </c>
      <c r="F1403" s="219">
        <f t="shared" si="129"/>
        <v>1.7807170907054064E-2</v>
      </c>
      <c r="G1403" s="302"/>
      <c r="H1403" s="83"/>
      <c r="I1403" s="53"/>
      <c r="J1403" s="53"/>
      <c r="K1403" s="68"/>
    </row>
    <row r="1404" spans="1:11" s="40" customFormat="1" ht="12" customHeight="1" x14ac:dyDescent="0.2">
      <c r="A1404" s="209">
        <v>4</v>
      </c>
      <c r="B1404" s="96" t="s">
        <v>611</v>
      </c>
      <c r="C1404" s="91" t="s">
        <v>568</v>
      </c>
      <c r="D1404" s="91"/>
      <c r="E1404" s="97"/>
      <c r="F1404" s="210">
        <f>SUM(F1405:F1411)</f>
        <v>0.33777215563350371</v>
      </c>
      <c r="G1404" s="303"/>
      <c r="H1404" s="83"/>
      <c r="I1404" s="53"/>
      <c r="J1404" s="53"/>
      <c r="K1404" s="67"/>
    </row>
    <row r="1405" spans="1:11" s="39" customFormat="1" ht="12" customHeight="1" x14ac:dyDescent="0.2">
      <c r="A1405" s="216"/>
      <c r="B1405" s="10" t="s">
        <v>69</v>
      </c>
      <c r="C1405" s="21" t="s">
        <v>568</v>
      </c>
      <c r="D1405" s="21">
        <v>1.05</v>
      </c>
      <c r="E1405" s="46">
        <f>VLOOKUP(B1405,'Costo de Materiales'!B$4:D$350,3,FALSE)</f>
        <v>0.22320180425341557</v>
      </c>
      <c r="F1405" s="217">
        <f t="shared" ref="F1405:F1411" si="130">D1405*E1405</f>
        <v>0.23436189446608635</v>
      </c>
      <c r="G1405" s="302"/>
      <c r="H1405" s="83"/>
      <c r="I1405" s="53"/>
      <c r="J1405" s="53"/>
      <c r="K1405" s="68"/>
    </row>
    <row r="1406" spans="1:11" s="39" customFormat="1" ht="12" customHeight="1" x14ac:dyDescent="0.2">
      <c r="A1406" s="216"/>
      <c r="B1406" s="10" t="s">
        <v>350</v>
      </c>
      <c r="C1406" s="21" t="s">
        <v>18</v>
      </c>
      <c r="D1406" s="21">
        <v>4.0000000000000001E-3</v>
      </c>
      <c r="E1406" s="46">
        <f>VLOOKUP(B1406,'Costo de Materiales'!B$4:D$350,3,FALSE)</f>
        <v>0.29756237135056668</v>
      </c>
      <c r="F1406" s="217">
        <f t="shared" si="130"/>
        <v>1.1902494854022668E-3</v>
      </c>
      <c r="G1406" s="302"/>
      <c r="H1406" s="83"/>
      <c r="I1406" s="53"/>
      <c r="J1406" s="53"/>
      <c r="K1406" s="68"/>
    </row>
    <row r="1407" spans="1:11" s="39" customFormat="1" ht="12" customHeight="1" x14ac:dyDescent="0.2">
      <c r="A1407" s="216"/>
      <c r="B1407" s="16" t="s">
        <v>275</v>
      </c>
      <c r="C1407" s="21" t="s">
        <v>18</v>
      </c>
      <c r="D1407" s="21">
        <v>0.02</v>
      </c>
      <c r="E1407" s="46">
        <f>VLOOKUP(B1407,'Costo de Materiales'!B$4:D$350,3,FALSE)</f>
        <v>0.41866389279907673</v>
      </c>
      <c r="F1407" s="217">
        <f t="shared" si="130"/>
        <v>8.3732778559815341E-3</v>
      </c>
      <c r="G1407" s="302"/>
      <c r="H1407" s="83"/>
      <c r="I1407" s="53"/>
      <c r="J1407" s="53"/>
      <c r="K1407" s="68"/>
    </row>
    <row r="1408" spans="1:11" s="39" customFormat="1" ht="12" customHeight="1" x14ac:dyDescent="0.2">
      <c r="A1408" s="216"/>
      <c r="B1408" s="37" t="s">
        <v>111</v>
      </c>
      <c r="C1408" s="21" t="s">
        <v>11</v>
      </c>
      <c r="D1408" s="21">
        <v>0.06</v>
      </c>
      <c r="E1408" s="46">
        <f>SUM(F1405:F1407)</f>
        <v>0.24392542180747018</v>
      </c>
      <c r="F1408" s="217">
        <f t="shared" si="130"/>
        <v>1.463552530844821E-2</v>
      </c>
      <c r="G1408" s="302"/>
      <c r="H1408" s="83"/>
      <c r="I1408" s="53"/>
      <c r="J1408" s="53"/>
      <c r="K1408" s="68"/>
    </row>
    <row r="1409" spans="1:11" s="39" customFormat="1" ht="12" customHeight="1" x14ac:dyDescent="0.2">
      <c r="A1409" s="216"/>
      <c r="B1409" s="37" t="s">
        <v>266</v>
      </c>
      <c r="C1409" s="21" t="s">
        <v>33</v>
      </c>
      <c r="D1409" s="21">
        <v>0.05</v>
      </c>
      <c r="E1409" s="46">
        <f>VLOOKUP(B1409,'Costo de Materiales'!B$4:D$350,3,FALSE)</f>
        <v>0.87720053729330372</v>
      </c>
      <c r="F1409" s="217">
        <f t="shared" si="130"/>
        <v>4.386002686466519E-2</v>
      </c>
      <c r="G1409" s="302"/>
      <c r="H1409" s="83"/>
      <c r="I1409" s="53"/>
      <c r="J1409" s="53"/>
      <c r="K1409" s="68"/>
    </row>
    <row r="1410" spans="1:11" s="39" customFormat="1" ht="12" customHeight="1" x14ac:dyDescent="0.2">
      <c r="A1410" s="216"/>
      <c r="B1410" s="37" t="s">
        <v>10</v>
      </c>
      <c r="C1410" s="21" t="s">
        <v>33</v>
      </c>
      <c r="D1410" s="21">
        <v>0.05</v>
      </c>
      <c r="E1410" s="46">
        <f>VLOOKUP(B1410,'Costo de Materiales'!B$4:D$350,3,FALSE)</f>
        <v>0.35088021491732146</v>
      </c>
      <c r="F1410" s="217">
        <f t="shared" si="130"/>
        <v>1.7544010745866073E-2</v>
      </c>
      <c r="G1410" s="302"/>
      <c r="H1410" s="83"/>
      <c r="I1410" s="53"/>
      <c r="J1410" s="53"/>
      <c r="K1410" s="68"/>
    </row>
    <row r="1411" spans="1:11" s="39" customFormat="1" ht="12" customHeight="1" x14ac:dyDescent="0.2">
      <c r="A1411" s="218"/>
      <c r="B1411" s="22" t="s">
        <v>109</v>
      </c>
      <c r="C1411" s="32" t="s">
        <v>11</v>
      </c>
      <c r="D1411" s="103">
        <f>VLOOKUP(B1411,'Costo de Materiales'!B$4:D$350,3,FALSE)</f>
        <v>0.28999999999999998</v>
      </c>
      <c r="E1411" s="47">
        <f>SUM(F1409:F1410)</f>
        <v>6.1404037610531259E-2</v>
      </c>
      <c r="F1411" s="219">
        <f t="shared" si="130"/>
        <v>1.7807170907054064E-2</v>
      </c>
      <c r="G1411" s="307"/>
      <c r="H1411" s="83"/>
      <c r="I1411" s="53"/>
      <c r="J1411" s="53"/>
      <c r="K1411" s="68"/>
    </row>
    <row r="1412" spans="1:11" s="40" customFormat="1" ht="12" customHeight="1" x14ac:dyDescent="0.2">
      <c r="A1412" s="209">
        <v>5</v>
      </c>
      <c r="B1412" s="96" t="s">
        <v>612</v>
      </c>
      <c r="C1412" s="91" t="s">
        <v>568</v>
      </c>
      <c r="D1412" s="91"/>
      <c r="E1412" s="97"/>
      <c r="F1412" s="210">
        <f>SUM(F1413:F1419)</f>
        <v>0.432577657860862</v>
      </c>
      <c r="G1412" s="302"/>
      <c r="H1412" s="83"/>
      <c r="I1412" s="53"/>
      <c r="J1412" s="53"/>
      <c r="K1412" s="67"/>
    </row>
    <row r="1413" spans="1:11" s="39" customFormat="1" ht="12" customHeight="1" x14ac:dyDescent="0.2">
      <c r="A1413" s="216"/>
      <c r="B1413" s="10" t="s">
        <v>70</v>
      </c>
      <c r="C1413" s="21" t="s">
        <v>568</v>
      </c>
      <c r="D1413" s="21">
        <v>1.05</v>
      </c>
      <c r="E1413" s="46">
        <f>VLOOKUP(B1413,'Costo de Materiales'!B$4:D$350,3,FALSE)</f>
        <v>0.30838195001025143</v>
      </c>
      <c r="F1413" s="217">
        <f t="shared" ref="F1413:F1419" si="131">D1413*E1413</f>
        <v>0.323801047510764</v>
      </c>
      <c r="G1413" s="302"/>
      <c r="H1413" s="83"/>
      <c r="I1413" s="53"/>
      <c r="J1413" s="53"/>
      <c r="K1413" s="68"/>
    </row>
    <row r="1414" spans="1:11" s="39" customFormat="1" ht="12" customHeight="1" x14ac:dyDescent="0.2">
      <c r="A1414" s="216"/>
      <c r="B1414" s="10" t="s">
        <v>350</v>
      </c>
      <c r="C1414" s="21" t="s">
        <v>18</v>
      </c>
      <c r="D1414" s="21">
        <v>4.0000000000000001E-3</v>
      </c>
      <c r="E1414" s="46">
        <f>VLOOKUP(B1414,'Costo de Materiales'!B$4:D$350,3,FALSE)</f>
        <v>0.29756237135056668</v>
      </c>
      <c r="F1414" s="217">
        <f t="shared" si="131"/>
        <v>1.1902494854022668E-3</v>
      </c>
      <c r="G1414" s="302"/>
      <c r="H1414" s="83"/>
      <c r="I1414" s="53"/>
      <c r="J1414" s="53"/>
      <c r="K1414" s="68"/>
    </row>
    <row r="1415" spans="1:11" s="39" customFormat="1" ht="12" customHeight="1" x14ac:dyDescent="0.2">
      <c r="A1415" s="216"/>
      <c r="B1415" s="16" t="s">
        <v>275</v>
      </c>
      <c r="C1415" s="21" t="s">
        <v>18</v>
      </c>
      <c r="D1415" s="21">
        <v>0.02</v>
      </c>
      <c r="E1415" s="46">
        <f>VLOOKUP(B1415,'Costo de Materiales'!B$4:D$350,3,FALSE)</f>
        <v>0.41866389279907673</v>
      </c>
      <c r="F1415" s="217">
        <f t="shared" si="131"/>
        <v>8.3732778559815341E-3</v>
      </c>
      <c r="G1415" s="302"/>
      <c r="H1415" s="83"/>
      <c r="I1415" s="53"/>
      <c r="J1415" s="53"/>
      <c r="K1415" s="68"/>
    </row>
    <row r="1416" spans="1:11" s="39" customFormat="1" ht="12" customHeight="1" x14ac:dyDescent="0.2">
      <c r="A1416" s="216"/>
      <c r="B1416" s="37" t="s">
        <v>111</v>
      </c>
      <c r="C1416" s="21" t="s">
        <v>11</v>
      </c>
      <c r="D1416" s="21">
        <v>0.06</v>
      </c>
      <c r="E1416" s="46">
        <f>SUM(F1413:F1415)</f>
        <v>0.33336457485214777</v>
      </c>
      <c r="F1416" s="217">
        <f t="shared" si="131"/>
        <v>2.0001874491128866E-2</v>
      </c>
      <c r="G1416" s="302"/>
      <c r="H1416" s="83"/>
      <c r="I1416" s="53"/>
      <c r="J1416" s="53"/>
      <c r="K1416" s="68"/>
    </row>
    <row r="1417" spans="1:11" s="39" customFormat="1" ht="12" customHeight="1" x14ac:dyDescent="0.2">
      <c r="A1417" s="216"/>
      <c r="B1417" s="37" t="s">
        <v>266</v>
      </c>
      <c r="C1417" s="21" t="s">
        <v>33</v>
      </c>
      <c r="D1417" s="21">
        <v>0.05</v>
      </c>
      <c r="E1417" s="46">
        <f>VLOOKUP(B1417,'Costo de Materiales'!B$4:D$350,3,FALSE)</f>
        <v>0.87720053729330372</v>
      </c>
      <c r="F1417" s="217">
        <f t="shared" si="131"/>
        <v>4.386002686466519E-2</v>
      </c>
      <c r="G1417" s="302"/>
      <c r="H1417" s="83"/>
      <c r="I1417" s="53"/>
      <c r="J1417" s="53"/>
      <c r="K1417" s="68"/>
    </row>
    <row r="1418" spans="1:11" s="39" customFormat="1" ht="12" customHeight="1" x14ac:dyDescent="0.2">
      <c r="A1418" s="216"/>
      <c r="B1418" s="37" t="s">
        <v>10</v>
      </c>
      <c r="C1418" s="21" t="s">
        <v>33</v>
      </c>
      <c r="D1418" s="21">
        <v>0.05</v>
      </c>
      <c r="E1418" s="46">
        <f>VLOOKUP(B1418,'Costo de Materiales'!B$4:D$350,3,FALSE)</f>
        <v>0.35088021491732146</v>
      </c>
      <c r="F1418" s="217">
        <f t="shared" si="131"/>
        <v>1.7544010745866073E-2</v>
      </c>
      <c r="G1418" s="302"/>
      <c r="H1418" s="83"/>
      <c r="I1418" s="53"/>
      <c r="J1418" s="53"/>
      <c r="K1418" s="68"/>
    </row>
    <row r="1419" spans="1:11" s="39" customFormat="1" ht="12" customHeight="1" x14ac:dyDescent="0.2">
      <c r="A1419" s="218"/>
      <c r="B1419" s="22" t="s">
        <v>109</v>
      </c>
      <c r="C1419" s="32" t="s">
        <v>11</v>
      </c>
      <c r="D1419" s="80">
        <f>VLOOKUP(B1419,'Costo de Materiales'!B$4:D$350,3,FALSE)</f>
        <v>0.28999999999999998</v>
      </c>
      <c r="E1419" s="47">
        <f>SUM(F1417:F1418)</f>
        <v>6.1404037610531259E-2</v>
      </c>
      <c r="F1419" s="219">
        <f t="shared" si="131"/>
        <v>1.7807170907054064E-2</v>
      </c>
      <c r="G1419" s="302"/>
      <c r="H1419" s="83"/>
      <c r="I1419" s="53"/>
      <c r="J1419" s="53"/>
      <c r="K1419" s="68"/>
    </row>
    <row r="1420" spans="1:11" s="42" customFormat="1" ht="12" customHeight="1" x14ac:dyDescent="0.2">
      <c r="A1420" s="209">
        <v>6</v>
      </c>
      <c r="B1420" s="96" t="s">
        <v>508</v>
      </c>
      <c r="C1420" s="91" t="s">
        <v>17</v>
      </c>
      <c r="D1420" s="89"/>
      <c r="E1420" s="94"/>
      <c r="F1420" s="210">
        <f>SUM(F1421:F1428)</f>
        <v>1.0325878404694393</v>
      </c>
      <c r="G1420" s="303"/>
      <c r="H1420" s="83"/>
      <c r="I1420" s="53"/>
      <c r="J1420" s="53"/>
      <c r="K1420" s="69"/>
    </row>
    <row r="1421" spans="1:11" s="42" customFormat="1" ht="12" customHeight="1" x14ac:dyDescent="0.2">
      <c r="A1421" s="216"/>
      <c r="B1421" s="37" t="s">
        <v>353</v>
      </c>
      <c r="C1421" s="21" t="s">
        <v>568</v>
      </c>
      <c r="D1421" s="21">
        <v>10</v>
      </c>
      <c r="E1421" s="46">
        <f>VLOOKUP(B1421,'Costo de Materiales'!B$4:D$350,3,FALSE)</f>
        <v>1.7225028732304872E-3</v>
      </c>
      <c r="F1421" s="217">
        <f t="shared" ref="F1421:F1428" si="132">D1421*E1421</f>
        <v>1.7225028732304873E-2</v>
      </c>
      <c r="G1421" s="302"/>
      <c r="H1421" s="83"/>
      <c r="I1421" s="53"/>
      <c r="J1421" s="53"/>
      <c r="K1421" s="69"/>
    </row>
    <row r="1422" spans="1:11" s="42" customFormat="1" ht="12" customHeight="1" x14ac:dyDescent="0.2">
      <c r="A1422" s="216"/>
      <c r="B1422" s="37" t="s">
        <v>352</v>
      </c>
      <c r="C1422" s="21" t="s">
        <v>568</v>
      </c>
      <c r="D1422" s="21">
        <v>32</v>
      </c>
      <c r="E1422" s="46">
        <f>VLOOKUP(B1422,'Costo de Materiales'!B$4:D$350,3,FALSE)</f>
        <v>6.3636911705459666E-3</v>
      </c>
      <c r="F1422" s="217">
        <f t="shared" si="132"/>
        <v>0.20363811745747093</v>
      </c>
      <c r="G1422" s="302"/>
      <c r="H1422" s="83"/>
      <c r="I1422" s="53"/>
      <c r="J1422" s="53"/>
      <c r="K1422" s="69"/>
    </row>
    <row r="1423" spans="1:11" s="42" customFormat="1" ht="12" customHeight="1" x14ac:dyDescent="0.2">
      <c r="A1423" s="216"/>
      <c r="B1423" s="37" t="s">
        <v>510</v>
      </c>
      <c r="C1423" s="21" t="s">
        <v>17</v>
      </c>
      <c r="D1423" s="21">
        <v>1</v>
      </c>
      <c r="E1423" s="46">
        <f>VLOOKUP(B1423,'Costo de Materiales'!B$4:D$350,3,FALSE)</f>
        <v>0.20478645270629126</v>
      </c>
      <c r="F1423" s="217">
        <f>D1423*E1423</f>
        <v>0.20478645270629126</v>
      </c>
      <c r="G1423" s="302"/>
      <c r="H1423" s="83"/>
      <c r="I1423" s="53"/>
      <c r="J1423" s="53"/>
      <c r="K1423" s="69"/>
    </row>
    <row r="1424" spans="1:11" s="42" customFormat="1" ht="12" customHeight="1" x14ac:dyDescent="0.2">
      <c r="A1424" s="216"/>
      <c r="B1424" s="37" t="s">
        <v>509</v>
      </c>
      <c r="C1424" s="21" t="s">
        <v>17</v>
      </c>
      <c r="D1424" s="21">
        <v>2</v>
      </c>
      <c r="E1424" s="46">
        <f>VLOOKUP(B1424,'Costo de Materiales'!B$4:D$350,3,FALSE)</f>
        <v>7.1388174634996859E-2</v>
      </c>
      <c r="F1424" s="217">
        <f>D1424*E1424</f>
        <v>0.14277634926999372</v>
      </c>
      <c r="G1424" s="302"/>
      <c r="H1424" s="83"/>
      <c r="I1424" s="53"/>
      <c r="J1424" s="53"/>
      <c r="K1424" s="69"/>
    </row>
    <row r="1425" spans="1:11" s="42" customFormat="1" ht="12" customHeight="1" x14ac:dyDescent="0.2">
      <c r="A1425" s="216"/>
      <c r="B1425" s="37" t="s">
        <v>111</v>
      </c>
      <c r="C1425" s="21" t="s">
        <v>11</v>
      </c>
      <c r="D1425" s="21">
        <v>0.08</v>
      </c>
      <c r="E1425" s="46">
        <f>SUM(F1421:F1424)</f>
        <v>0.56842594816606073</v>
      </c>
      <c r="F1425" s="217">
        <f t="shared" si="132"/>
        <v>4.5474075853284862E-2</v>
      </c>
      <c r="G1425" s="302"/>
      <c r="H1425" s="83"/>
      <c r="I1425" s="53"/>
      <c r="J1425" s="53"/>
      <c r="K1425" s="69"/>
    </row>
    <row r="1426" spans="1:11" s="42" customFormat="1" ht="12" customHeight="1" x14ac:dyDescent="0.2">
      <c r="A1426" s="216"/>
      <c r="B1426" s="37" t="s">
        <v>355</v>
      </c>
      <c r="C1426" s="21" t="s">
        <v>33</v>
      </c>
      <c r="D1426" s="21">
        <v>0.25</v>
      </c>
      <c r="E1426" s="46">
        <f>VLOOKUP(B1426,'Costo de Materiales'!B$4:D$350,3,FALSE)</f>
        <v>0.94737658027676797</v>
      </c>
      <c r="F1426" s="217">
        <f t="shared" si="132"/>
        <v>0.23684414506919199</v>
      </c>
      <c r="G1426" s="302"/>
      <c r="H1426" s="83"/>
      <c r="I1426" s="53"/>
      <c r="J1426" s="53"/>
      <c r="K1426" s="69"/>
    </row>
    <row r="1427" spans="1:11" s="42" customFormat="1" ht="12" customHeight="1" x14ac:dyDescent="0.2">
      <c r="A1427" s="216"/>
      <c r="B1427" s="37" t="s">
        <v>10</v>
      </c>
      <c r="C1427" s="21" t="s">
        <v>33</v>
      </c>
      <c r="D1427" s="21">
        <v>0.25</v>
      </c>
      <c r="E1427" s="46">
        <f>VLOOKUP(B1427,'Costo de Materiales'!B$4:D$350,3,FALSE)</f>
        <v>0.35088021491732146</v>
      </c>
      <c r="F1427" s="217">
        <f t="shared" si="132"/>
        <v>8.7720053729330366E-2</v>
      </c>
      <c r="G1427" s="302"/>
      <c r="H1427" s="83"/>
      <c r="I1427" s="53"/>
      <c r="J1427" s="53"/>
      <c r="K1427" s="69"/>
    </row>
    <row r="1428" spans="1:11" s="42" customFormat="1" ht="12" customHeight="1" x14ac:dyDescent="0.2">
      <c r="A1428" s="218"/>
      <c r="B1428" s="22" t="s">
        <v>109</v>
      </c>
      <c r="C1428" s="32" t="s">
        <v>11</v>
      </c>
      <c r="D1428" s="103">
        <f>VLOOKUP(B1428,'Costo de Materiales'!B$4:D$350,3,FALSE)</f>
        <v>0.28999999999999998</v>
      </c>
      <c r="E1428" s="47">
        <f>SUM(F1426:F1427)</f>
        <v>0.32456419879852239</v>
      </c>
      <c r="F1428" s="219">
        <f t="shared" si="132"/>
        <v>9.4123617651571484E-2</v>
      </c>
      <c r="G1428" s="307"/>
      <c r="H1428" s="83"/>
      <c r="I1428" s="53"/>
      <c r="J1428" s="53"/>
      <c r="K1428" s="69"/>
    </row>
    <row r="1429" spans="1:11" s="42" customFormat="1" ht="12" customHeight="1" x14ac:dyDescent="0.2">
      <c r="A1429" s="209">
        <v>7</v>
      </c>
      <c r="B1429" s="96" t="s">
        <v>506</v>
      </c>
      <c r="C1429" s="91" t="s">
        <v>17</v>
      </c>
      <c r="D1429" s="89"/>
      <c r="E1429" s="94"/>
      <c r="F1429" s="210">
        <f>SUM(F1430:F1436)</f>
        <v>0.76336064138351434</v>
      </c>
      <c r="G1429" s="302"/>
      <c r="H1429" s="83"/>
      <c r="I1429" s="53"/>
      <c r="J1429" s="53"/>
      <c r="K1429" s="69"/>
    </row>
    <row r="1430" spans="1:11" s="42" customFormat="1" ht="12" customHeight="1" x14ac:dyDescent="0.2">
      <c r="A1430" s="216"/>
      <c r="B1430" s="37" t="s">
        <v>353</v>
      </c>
      <c r="C1430" s="21" t="s">
        <v>568</v>
      </c>
      <c r="D1430" s="21">
        <v>8</v>
      </c>
      <c r="E1430" s="46">
        <f>VLOOKUP(B1430,'Costo de Materiales'!B$4:D$350,3,FALSE)</f>
        <v>1.7225028732304872E-3</v>
      </c>
      <c r="F1430" s="217">
        <f t="shared" ref="F1430:F1436" si="133">D1430*E1430</f>
        <v>1.3780022985843897E-2</v>
      </c>
      <c r="G1430" s="302"/>
      <c r="H1430" s="83"/>
      <c r="I1430" s="53"/>
      <c r="J1430" s="53"/>
      <c r="K1430" s="69"/>
    </row>
    <row r="1431" spans="1:11" s="42" customFormat="1" ht="12" customHeight="1" x14ac:dyDescent="0.2">
      <c r="A1431" s="216"/>
      <c r="B1431" s="37" t="s">
        <v>352</v>
      </c>
      <c r="C1431" s="21" t="s">
        <v>568</v>
      </c>
      <c r="D1431" s="21">
        <v>24</v>
      </c>
      <c r="E1431" s="46">
        <f>VLOOKUP(B1431,'Costo de Materiales'!B$4:D$350,3,FALSE)</f>
        <v>6.3636911705459666E-3</v>
      </c>
      <c r="F1431" s="217">
        <f t="shared" si="133"/>
        <v>0.15272858809310319</v>
      </c>
      <c r="G1431" s="302"/>
      <c r="H1431" s="83"/>
      <c r="I1431" s="53"/>
      <c r="J1431" s="53"/>
      <c r="K1431" s="69"/>
    </row>
    <row r="1432" spans="1:11" s="42" customFormat="1" ht="12" customHeight="1" x14ac:dyDescent="0.2">
      <c r="A1432" s="216"/>
      <c r="B1432" s="37" t="s">
        <v>507</v>
      </c>
      <c r="C1432" s="21" t="s">
        <v>17</v>
      </c>
      <c r="D1432" s="21">
        <v>1</v>
      </c>
      <c r="E1432" s="46">
        <f>VLOOKUP(B1432,'Costo de Materiales'!B$4:D$350,3,FALSE)</f>
        <v>0.15263289348903483</v>
      </c>
      <c r="F1432" s="217">
        <f t="shared" si="133"/>
        <v>0.15263289348903483</v>
      </c>
      <c r="G1432" s="302"/>
      <c r="H1432" s="83"/>
      <c r="I1432" s="53"/>
      <c r="J1432" s="53"/>
      <c r="K1432" s="69"/>
    </row>
    <row r="1433" spans="1:11" s="42" customFormat="1" ht="12" customHeight="1" x14ac:dyDescent="0.2">
      <c r="A1433" s="216"/>
      <c r="B1433" s="37" t="s">
        <v>111</v>
      </c>
      <c r="C1433" s="21" t="s">
        <v>11</v>
      </c>
      <c r="D1433" s="21">
        <v>0.08</v>
      </c>
      <c r="E1433" s="46">
        <f>SUM(F1430:F1432)</f>
        <v>0.31914150456798196</v>
      </c>
      <c r="F1433" s="217">
        <f t="shared" si="133"/>
        <v>2.5531320365438558E-2</v>
      </c>
      <c r="G1433" s="302"/>
      <c r="H1433" s="83"/>
      <c r="I1433" s="53"/>
      <c r="J1433" s="53"/>
      <c r="K1433" s="69"/>
    </row>
    <row r="1434" spans="1:11" s="42" customFormat="1" ht="12" customHeight="1" x14ac:dyDescent="0.2">
      <c r="A1434" s="216"/>
      <c r="B1434" s="37" t="s">
        <v>355</v>
      </c>
      <c r="C1434" s="21" t="s">
        <v>33</v>
      </c>
      <c r="D1434" s="21">
        <v>0.25</v>
      </c>
      <c r="E1434" s="46">
        <f>VLOOKUP(B1434,'Costo de Materiales'!B$4:D$350,3,FALSE)</f>
        <v>0.94737658027676797</v>
      </c>
      <c r="F1434" s="217">
        <f t="shared" si="133"/>
        <v>0.23684414506919199</v>
      </c>
      <c r="G1434" s="302"/>
      <c r="H1434" s="83"/>
      <c r="I1434" s="53"/>
      <c r="J1434" s="53"/>
      <c r="K1434" s="69"/>
    </row>
    <row r="1435" spans="1:11" s="42" customFormat="1" ht="12" customHeight="1" x14ac:dyDescent="0.2">
      <c r="A1435" s="216"/>
      <c r="B1435" s="37" t="s">
        <v>10</v>
      </c>
      <c r="C1435" s="21" t="s">
        <v>33</v>
      </c>
      <c r="D1435" s="21">
        <v>0.25</v>
      </c>
      <c r="E1435" s="46">
        <f>VLOOKUP(B1435,'Costo de Materiales'!B$4:D$350,3,FALSE)</f>
        <v>0.35088021491732146</v>
      </c>
      <c r="F1435" s="217">
        <f t="shared" si="133"/>
        <v>8.7720053729330366E-2</v>
      </c>
      <c r="G1435" s="302"/>
      <c r="H1435" s="83"/>
      <c r="I1435" s="53"/>
      <c r="J1435" s="53"/>
      <c r="K1435" s="69"/>
    </row>
    <row r="1436" spans="1:11" s="42" customFormat="1" ht="12" customHeight="1" x14ac:dyDescent="0.2">
      <c r="A1436" s="218"/>
      <c r="B1436" s="22" t="s">
        <v>109</v>
      </c>
      <c r="C1436" s="32" t="s">
        <v>11</v>
      </c>
      <c r="D1436" s="80">
        <f>VLOOKUP(B1436,'Costo de Materiales'!B$4:D$350,3,FALSE)</f>
        <v>0.28999999999999998</v>
      </c>
      <c r="E1436" s="47">
        <f>SUM(F1434:F1435)</f>
        <v>0.32456419879852239</v>
      </c>
      <c r="F1436" s="219">
        <f t="shared" si="133"/>
        <v>9.4123617651571484E-2</v>
      </c>
      <c r="G1436" s="302"/>
      <c r="H1436" s="83"/>
      <c r="I1436" s="53"/>
      <c r="J1436" s="53"/>
      <c r="K1436" s="69"/>
    </row>
    <row r="1437" spans="1:11" s="39" customFormat="1" ht="12" customHeight="1" x14ac:dyDescent="0.2">
      <c r="A1437" s="209">
        <v>8</v>
      </c>
      <c r="B1437" s="96" t="s">
        <v>343</v>
      </c>
      <c r="C1437" s="91" t="s">
        <v>17</v>
      </c>
      <c r="D1437" s="89"/>
      <c r="E1437" s="94"/>
      <c r="F1437" s="210">
        <f>SUM(F1438:F1444)</f>
        <v>0.60197934719055002</v>
      </c>
      <c r="G1437" s="303"/>
      <c r="H1437" s="83"/>
      <c r="I1437" s="53"/>
      <c r="J1437" s="53"/>
      <c r="K1437" s="68"/>
    </row>
    <row r="1438" spans="1:11" s="39" customFormat="1" ht="12" customHeight="1" x14ac:dyDescent="0.2">
      <c r="A1438" s="216"/>
      <c r="B1438" s="37" t="s">
        <v>353</v>
      </c>
      <c r="C1438" s="21" t="s">
        <v>568</v>
      </c>
      <c r="D1438" s="21">
        <v>8</v>
      </c>
      <c r="E1438" s="46">
        <f>VLOOKUP(B1438,'Costo de Materiales'!B$4:D$350,3,FALSE)</f>
        <v>1.7225028732304872E-3</v>
      </c>
      <c r="F1438" s="217">
        <f t="shared" ref="F1438:F1444" si="134">D1438*E1438</f>
        <v>1.3780022985843897E-2</v>
      </c>
      <c r="G1438" s="302"/>
      <c r="H1438" s="83"/>
      <c r="I1438" s="53"/>
      <c r="J1438" s="53"/>
      <c r="K1438" s="68"/>
    </row>
    <row r="1439" spans="1:11" s="39" customFormat="1" ht="12" customHeight="1" x14ac:dyDescent="0.2">
      <c r="A1439" s="216"/>
      <c r="B1439" s="37" t="s">
        <v>352</v>
      </c>
      <c r="C1439" s="21" t="s">
        <v>568</v>
      </c>
      <c r="D1439" s="21">
        <v>16</v>
      </c>
      <c r="E1439" s="46">
        <f>VLOOKUP(B1439,'Costo de Materiales'!B$4:D$350,3,FALSE)</f>
        <v>6.3636911705459666E-3</v>
      </c>
      <c r="F1439" s="217">
        <f t="shared" si="134"/>
        <v>0.10181905872873546</v>
      </c>
      <c r="G1439" s="302"/>
      <c r="H1439" s="83"/>
      <c r="I1439" s="53"/>
      <c r="J1439" s="53"/>
      <c r="K1439" s="68"/>
    </row>
    <row r="1440" spans="1:11" s="39" customFormat="1" ht="12" customHeight="1" x14ac:dyDescent="0.2">
      <c r="A1440" s="216"/>
      <c r="B1440" s="37" t="s">
        <v>344</v>
      </c>
      <c r="C1440" s="21" t="s">
        <v>17</v>
      </c>
      <c r="D1440" s="21">
        <v>1</v>
      </c>
      <c r="E1440" s="46">
        <f>VLOOKUP(B1440,'Costo de Materiales'!B$4:D$350,3,FALSE)</f>
        <v>5.4115298600657807E-2</v>
      </c>
      <c r="F1440" s="217">
        <f t="shared" si="134"/>
        <v>5.4115298600657807E-2</v>
      </c>
      <c r="G1440" s="302"/>
      <c r="H1440" s="83"/>
      <c r="I1440" s="53"/>
      <c r="J1440" s="53"/>
      <c r="K1440" s="68"/>
    </row>
    <row r="1441" spans="1:11" s="39" customFormat="1" ht="12" customHeight="1" x14ac:dyDescent="0.2">
      <c r="A1441" s="216"/>
      <c r="B1441" s="37" t="s">
        <v>111</v>
      </c>
      <c r="C1441" s="21" t="s">
        <v>11</v>
      </c>
      <c r="D1441" s="21">
        <v>0.08</v>
      </c>
      <c r="E1441" s="46">
        <f>SUM(F1438:F1440)</f>
        <v>0.16971438031523717</v>
      </c>
      <c r="F1441" s="217">
        <f t="shared" si="134"/>
        <v>1.3577150425218974E-2</v>
      </c>
      <c r="G1441" s="302"/>
      <c r="H1441" s="83"/>
      <c r="I1441" s="53"/>
      <c r="J1441" s="53"/>
      <c r="K1441" s="68"/>
    </row>
    <row r="1442" spans="1:11" s="39" customFormat="1" ht="12" customHeight="1" x14ac:dyDescent="0.2">
      <c r="A1442" s="216"/>
      <c r="B1442" s="37" t="s">
        <v>355</v>
      </c>
      <c r="C1442" s="21" t="s">
        <v>33</v>
      </c>
      <c r="D1442" s="21">
        <v>0.25</v>
      </c>
      <c r="E1442" s="46">
        <f>VLOOKUP(B1442,'Costo de Materiales'!B$4:D$350,3,FALSE)</f>
        <v>0.94737658027676797</v>
      </c>
      <c r="F1442" s="217">
        <f t="shared" si="134"/>
        <v>0.23684414506919199</v>
      </c>
      <c r="G1442" s="302"/>
      <c r="H1442" s="83"/>
      <c r="I1442" s="53"/>
      <c r="J1442" s="53"/>
      <c r="K1442" s="68"/>
    </row>
    <row r="1443" spans="1:11" s="39" customFormat="1" ht="12" customHeight="1" x14ac:dyDescent="0.2">
      <c r="A1443" s="216"/>
      <c r="B1443" s="37" t="s">
        <v>10</v>
      </c>
      <c r="C1443" s="21" t="s">
        <v>33</v>
      </c>
      <c r="D1443" s="21">
        <v>0.25</v>
      </c>
      <c r="E1443" s="46">
        <f>VLOOKUP(B1443,'Costo de Materiales'!B$4:D$350,3,FALSE)</f>
        <v>0.35088021491732146</v>
      </c>
      <c r="F1443" s="217">
        <f t="shared" si="134"/>
        <v>8.7720053729330366E-2</v>
      </c>
      <c r="G1443" s="302"/>
      <c r="H1443" s="83"/>
      <c r="I1443" s="53"/>
      <c r="J1443" s="53"/>
      <c r="K1443" s="68"/>
    </row>
    <row r="1444" spans="1:11" s="39" customFormat="1" ht="12" customHeight="1" x14ac:dyDescent="0.2">
      <c r="A1444" s="218"/>
      <c r="B1444" s="22" t="s">
        <v>109</v>
      </c>
      <c r="C1444" s="32" t="s">
        <v>11</v>
      </c>
      <c r="D1444" s="103">
        <f>VLOOKUP(B1444,'Costo de Materiales'!B$4:D$350,3,FALSE)</f>
        <v>0.28999999999999998</v>
      </c>
      <c r="E1444" s="47">
        <f>SUM(F1442:F1443)</f>
        <v>0.32456419879852239</v>
      </c>
      <c r="F1444" s="219">
        <f t="shared" si="134"/>
        <v>9.4123617651571484E-2</v>
      </c>
      <c r="G1444" s="307"/>
      <c r="H1444" s="83"/>
      <c r="I1444" s="53"/>
      <c r="J1444" s="53"/>
      <c r="K1444" s="68"/>
    </row>
    <row r="1445" spans="1:11" s="3" customFormat="1" ht="12" customHeight="1" x14ac:dyDescent="0.2">
      <c r="A1445" s="209">
        <v>9</v>
      </c>
      <c r="B1445" s="93" t="s">
        <v>273</v>
      </c>
      <c r="C1445" s="95" t="s">
        <v>17</v>
      </c>
      <c r="D1445" s="95"/>
      <c r="E1445" s="94"/>
      <c r="F1445" s="223">
        <f>SUM(F1446:F1450)</f>
        <v>1.4023087280177533</v>
      </c>
      <c r="G1445" s="303"/>
      <c r="H1445" s="83"/>
      <c r="I1445" s="53"/>
      <c r="J1445" s="53"/>
      <c r="K1445" s="58"/>
    </row>
    <row r="1446" spans="1:11" s="3" customFormat="1" ht="12" customHeight="1" x14ac:dyDescent="0.2">
      <c r="A1446" s="205"/>
      <c r="B1446" s="12" t="s">
        <v>80</v>
      </c>
      <c r="C1446" s="20" t="s">
        <v>17</v>
      </c>
      <c r="D1446" s="20">
        <v>1</v>
      </c>
      <c r="E1446" s="44">
        <f>VLOOKUP(B1446,'Costo de Materiales'!B$4:D$350,3,FALSE)</f>
        <v>0.92436202799832723</v>
      </c>
      <c r="F1446" s="224">
        <f>D1446*E1446</f>
        <v>0.92436202799832723</v>
      </c>
      <c r="G1446" s="302"/>
      <c r="H1446" s="83"/>
      <c r="I1446" s="54"/>
      <c r="J1446" s="54"/>
      <c r="K1446" s="58"/>
    </row>
    <row r="1447" spans="1:11" s="3" customFormat="1" ht="12" customHeight="1" x14ac:dyDescent="0.2">
      <c r="A1447" s="205"/>
      <c r="B1447" s="10" t="s">
        <v>463</v>
      </c>
      <c r="C1447" s="20" t="s">
        <v>17</v>
      </c>
      <c r="D1447" s="20">
        <v>0.05</v>
      </c>
      <c r="E1447" s="44">
        <f>VLOOKUP(B1447,'Costo de Materiales'!B$4:D$350,3,FALSE)</f>
        <v>5.3588978278281824E-2</v>
      </c>
      <c r="F1447" s="224">
        <f>D1447*E1447</f>
        <v>2.6794489139140912E-3</v>
      </c>
      <c r="G1447" s="302"/>
      <c r="H1447" s="83"/>
      <c r="I1447" s="54"/>
      <c r="J1447" s="54"/>
      <c r="K1447" s="58"/>
    </row>
    <row r="1448" spans="1:11" s="3" customFormat="1" ht="12" customHeight="1" x14ac:dyDescent="0.2">
      <c r="A1448" s="205"/>
      <c r="B1448" s="15" t="s">
        <v>266</v>
      </c>
      <c r="C1448" s="20" t="s">
        <v>33</v>
      </c>
      <c r="D1448" s="20">
        <v>0.3</v>
      </c>
      <c r="E1448" s="44">
        <f>VLOOKUP(B1448,'Costo de Materiales'!B$4:D$350,3,FALSE)</f>
        <v>0.87720053729330372</v>
      </c>
      <c r="F1448" s="224">
        <f>D1448*E1448</f>
        <v>0.26316016118799113</v>
      </c>
      <c r="G1448" s="302"/>
      <c r="H1448" s="83"/>
      <c r="I1448" s="54"/>
      <c r="J1448" s="54"/>
      <c r="K1448" s="58"/>
    </row>
    <row r="1449" spans="1:11" s="41" customFormat="1" ht="12" customHeight="1" x14ac:dyDescent="0.2">
      <c r="A1449" s="205"/>
      <c r="B1449" s="15" t="s">
        <v>10</v>
      </c>
      <c r="C1449" s="20" t="s">
        <v>33</v>
      </c>
      <c r="D1449" s="20">
        <v>0.3</v>
      </c>
      <c r="E1449" s="44">
        <f>VLOOKUP(B1449,'Costo de Materiales'!B$4:D$350,3,FALSE)</f>
        <v>0.35088021491732146</v>
      </c>
      <c r="F1449" s="224">
        <f>D1449*E1449</f>
        <v>0.10526406447519644</v>
      </c>
      <c r="G1449" s="302"/>
      <c r="H1449" s="83"/>
      <c r="I1449" s="54"/>
      <c r="J1449" s="54"/>
      <c r="K1449" s="66"/>
    </row>
    <row r="1450" spans="1:11" s="3" customFormat="1" ht="12" customHeight="1" x14ac:dyDescent="0.2">
      <c r="A1450" s="207"/>
      <c r="B1450" s="27" t="s">
        <v>93</v>
      </c>
      <c r="C1450" s="28" t="s">
        <v>11</v>
      </c>
      <c r="D1450" s="80">
        <f>VLOOKUP(B1450,'Costo de Materiales'!B$4:D$350,3,FALSE)</f>
        <v>0.28999999999999998</v>
      </c>
      <c r="E1450" s="45">
        <f>F1448+F1449</f>
        <v>0.36842422566318755</v>
      </c>
      <c r="F1450" s="225">
        <f>D1450*E1450</f>
        <v>0.10684302544232438</v>
      </c>
      <c r="G1450" s="307"/>
      <c r="H1450" s="83"/>
      <c r="I1450" s="54"/>
      <c r="J1450" s="54"/>
      <c r="K1450" s="58"/>
    </row>
    <row r="1451" spans="1:11" s="3" customFormat="1" ht="12" customHeight="1" x14ac:dyDescent="0.2">
      <c r="A1451" s="209">
        <v>10</v>
      </c>
      <c r="B1451" s="93" t="s">
        <v>272</v>
      </c>
      <c r="C1451" s="95" t="s">
        <v>17</v>
      </c>
      <c r="D1451" s="95"/>
      <c r="E1451" s="94"/>
      <c r="F1451" s="223">
        <f>SUM(F1452:F1460)</f>
        <v>0.95218690878677426</v>
      </c>
      <c r="G1451" s="302"/>
      <c r="H1451" s="83"/>
      <c r="I1451" s="53"/>
      <c r="J1451" s="53"/>
      <c r="K1451" s="58"/>
    </row>
    <row r="1452" spans="1:11" s="3" customFormat="1" ht="12" customHeight="1" x14ac:dyDescent="0.2">
      <c r="A1452" s="205"/>
      <c r="B1452" s="12" t="s">
        <v>48</v>
      </c>
      <c r="C1452" s="20" t="s">
        <v>17</v>
      </c>
      <c r="D1452" s="20">
        <v>1</v>
      </c>
      <c r="E1452" s="44">
        <f>VLOOKUP(B1452,'Costo de Materiales'!B$4:D$350,3,FALSE)</f>
        <v>0.35344802012648913</v>
      </c>
      <c r="F1452" s="224">
        <f>D1452*E1452</f>
        <v>0.35344802012648913</v>
      </c>
      <c r="G1452" s="302"/>
      <c r="H1452" s="83"/>
      <c r="I1452" s="54"/>
      <c r="J1452" s="54"/>
      <c r="K1452" s="58"/>
    </row>
    <row r="1453" spans="1:11" s="3" customFormat="1" ht="12" customHeight="1" x14ac:dyDescent="0.2">
      <c r="A1453" s="205"/>
      <c r="B1453" s="10" t="s">
        <v>463</v>
      </c>
      <c r="C1453" s="20" t="s">
        <v>17</v>
      </c>
      <c r="D1453" s="20">
        <v>0.05</v>
      </c>
      <c r="E1453" s="44">
        <f>VLOOKUP(B1453,'Costo de Materiales'!B$4:D$350,3,FALSE)</f>
        <v>5.3588978278281824E-2</v>
      </c>
      <c r="F1453" s="224">
        <f>D1453*E1453</f>
        <v>2.6794489139140912E-3</v>
      </c>
      <c r="G1453" s="302"/>
      <c r="H1453" s="83"/>
      <c r="I1453" s="54"/>
      <c r="J1453" s="54"/>
      <c r="K1453" s="58"/>
    </row>
    <row r="1454" spans="1:11" s="3" customFormat="1" ht="12" customHeight="1" x14ac:dyDescent="0.2">
      <c r="A1454" s="205"/>
      <c r="B1454" s="12" t="s">
        <v>110</v>
      </c>
      <c r="C1454" s="11" t="s">
        <v>17</v>
      </c>
      <c r="D1454" s="11">
        <v>2</v>
      </c>
      <c r="E1454" s="44">
        <f>VLOOKUP(B1454,'Costo de Materiales'!B$4:D$350,3,FALSE)</f>
        <v>7.7991102315713726E-2</v>
      </c>
      <c r="F1454" s="224">
        <f t="shared" ref="F1454:F1460" si="135">D1454*E1454</f>
        <v>0.15598220463142745</v>
      </c>
      <c r="G1454" s="302"/>
      <c r="H1454" s="83"/>
      <c r="I1454" s="53"/>
      <c r="J1454" s="53"/>
      <c r="K1454" s="58"/>
    </row>
    <row r="1455" spans="1:11" s="3" customFormat="1" ht="12" customHeight="1" x14ac:dyDescent="0.2">
      <c r="A1455" s="205"/>
      <c r="B1455" s="12" t="s">
        <v>324</v>
      </c>
      <c r="C1455" s="11" t="s">
        <v>17</v>
      </c>
      <c r="D1455" s="11">
        <v>2</v>
      </c>
      <c r="E1455" s="44">
        <f>VLOOKUP(B1455,'Costo de Materiales'!B$4:D$350,3,FALSE)</f>
        <v>1.181828360244251E-2</v>
      </c>
      <c r="F1455" s="224">
        <f t="shared" si="135"/>
        <v>2.3636567204885019E-2</v>
      </c>
      <c r="G1455" s="302"/>
      <c r="H1455" s="83"/>
      <c r="I1455" s="53"/>
      <c r="J1455" s="53"/>
      <c r="K1455" s="58"/>
    </row>
    <row r="1456" spans="1:11" s="3" customFormat="1" ht="12" customHeight="1" x14ac:dyDescent="0.2">
      <c r="A1456" s="205"/>
      <c r="B1456" s="10" t="s">
        <v>275</v>
      </c>
      <c r="C1456" s="11" t="s">
        <v>18</v>
      </c>
      <c r="D1456" s="11">
        <v>0.01</v>
      </c>
      <c r="E1456" s="44">
        <f>VLOOKUP(B1456,'Costo de Materiales'!B$4:D$350,3,FALSE)</f>
        <v>0.41866389279907673</v>
      </c>
      <c r="F1456" s="224">
        <f t="shared" si="135"/>
        <v>4.186638927990767E-3</v>
      </c>
      <c r="G1456" s="302"/>
      <c r="H1456" s="83"/>
      <c r="I1456" s="53"/>
      <c r="J1456" s="53"/>
      <c r="K1456" s="58"/>
    </row>
    <row r="1457" spans="1:11" s="3" customFormat="1" ht="12" customHeight="1" x14ac:dyDescent="0.2">
      <c r="A1457" s="205"/>
      <c r="B1457" s="10" t="s">
        <v>111</v>
      </c>
      <c r="C1457" s="11" t="s">
        <v>11</v>
      </c>
      <c r="D1457" s="11">
        <v>0.03</v>
      </c>
      <c r="E1457" s="44">
        <f>SUM(F1452:F1456)</f>
        <v>0.5399328798047065</v>
      </c>
      <c r="F1457" s="224">
        <f t="shared" si="135"/>
        <v>1.6197986394141193E-2</v>
      </c>
      <c r="G1457" s="302"/>
      <c r="H1457" s="83"/>
      <c r="I1457" s="53"/>
      <c r="J1457" s="53"/>
      <c r="K1457" s="58"/>
    </row>
    <row r="1458" spans="1:11" s="3" customFormat="1" ht="12" customHeight="1" x14ac:dyDescent="0.2">
      <c r="A1458" s="205"/>
      <c r="B1458" s="15" t="s">
        <v>266</v>
      </c>
      <c r="C1458" s="11" t="s">
        <v>33</v>
      </c>
      <c r="D1458" s="11">
        <v>0.25</v>
      </c>
      <c r="E1458" s="44">
        <f>VLOOKUP(B1458,'Costo de Materiales'!B$4:D$350,3,FALSE)</f>
        <v>0.87720053729330372</v>
      </c>
      <c r="F1458" s="224">
        <f t="shared" si="135"/>
        <v>0.21930013432332593</v>
      </c>
      <c r="G1458" s="302"/>
      <c r="H1458" s="83"/>
      <c r="I1458" s="53"/>
      <c r="J1458" s="53"/>
      <c r="K1458" s="58"/>
    </row>
    <row r="1459" spans="1:11" s="41" customFormat="1" ht="12" customHeight="1" x14ac:dyDescent="0.2">
      <c r="A1459" s="205"/>
      <c r="B1459" s="15" t="s">
        <v>10</v>
      </c>
      <c r="C1459" s="20" t="s">
        <v>33</v>
      </c>
      <c r="D1459" s="20">
        <v>0.25</v>
      </c>
      <c r="E1459" s="44">
        <f>VLOOKUP(B1459,'Costo de Materiales'!B$4:D$350,3,FALSE)</f>
        <v>0.35088021491732146</v>
      </c>
      <c r="F1459" s="224">
        <f>D1459*E1459</f>
        <v>8.7720053729330366E-2</v>
      </c>
      <c r="G1459" s="302"/>
      <c r="H1459" s="83"/>
      <c r="I1459" s="54"/>
      <c r="J1459" s="54"/>
      <c r="K1459" s="66"/>
    </row>
    <row r="1460" spans="1:11" s="3" customFormat="1" ht="12" customHeight="1" x14ac:dyDescent="0.2">
      <c r="A1460" s="207"/>
      <c r="B1460" s="27" t="s">
        <v>109</v>
      </c>
      <c r="C1460" s="28" t="s">
        <v>11</v>
      </c>
      <c r="D1460" s="80">
        <f>VLOOKUP(B1460,'Costo de Materiales'!B$4:D$350,3,FALSE)</f>
        <v>0.28999999999999998</v>
      </c>
      <c r="E1460" s="45">
        <f>F1458+F1459</f>
        <v>0.3070201880526563</v>
      </c>
      <c r="F1460" s="225">
        <f t="shared" si="135"/>
        <v>8.9035854535270326E-2</v>
      </c>
      <c r="G1460" s="302"/>
      <c r="H1460" s="83"/>
      <c r="I1460" s="54"/>
      <c r="J1460" s="54"/>
      <c r="K1460" s="58"/>
    </row>
    <row r="1461" spans="1:11" s="3" customFormat="1" ht="12" customHeight="1" x14ac:dyDescent="0.2">
      <c r="A1461" s="209">
        <v>11</v>
      </c>
      <c r="B1461" s="93" t="s">
        <v>269</v>
      </c>
      <c r="C1461" s="95" t="s">
        <v>17</v>
      </c>
      <c r="D1461" s="95"/>
      <c r="E1461" s="94"/>
      <c r="F1461" s="223">
        <f>SUM(F1462:F1470)</f>
        <v>0.93971838034968724</v>
      </c>
      <c r="G1461" s="303"/>
      <c r="H1461" s="83"/>
      <c r="I1461" s="53"/>
      <c r="J1461" s="53"/>
      <c r="K1461" s="58"/>
    </row>
    <row r="1462" spans="1:11" s="3" customFormat="1" ht="12" customHeight="1" x14ac:dyDescent="0.2">
      <c r="A1462" s="205"/>
      <c r="B1462" s="12" t="s">
        <v>274</v>
      </c>
      <c r="C1462" s="11" t="s">
        <v>17</v>
      </c>
      <c r="D1462" s="11">
        <v>1</v>
      </c>
      <c r="E1462" s="44">
        <f>VLOOKUP(B1462,'Costo de Materiales'!B$4:D$350,3,FALSE)</f>
        <v>0.30115091900313018</v>
      </c>
      <c r="F1462" s="206">
        <f>D1462*E1462</f>
        <v>0.30115091900313018</v>
      </c>
      <c r="G1462" s="302"/>
      <c r="H1462" s="83"/>
      <c r="I1462" s="53"/>
      <c r="J1462" s="53"/>
      <c r="K1462" s="58"/>
    </row>
    <row r="1463" spans="1:11" s="3" customFormat="1" ht="12" customHeight="1" x14ac:dyDescent="0.2">
      <c r="A1463" s="205"/>
      <c r="B1463" s="10" t="s">
        <v>463</v>
      </c>
      <c r="C1463" s="20" t="s">
        <v>17</v>
      </c>
      <c r="D1463" s="20">
        <v>0.05</v>
      </c>
      <c r="E1463" s="44">
        <f>VLOOKUP(B1463,'Costo de Materiales'!B$4:D$350,3,FALSE)</f>
        <v>5.3588978278281824E-2</v>
      </c>
      <c r="F1463" s="224">
        <f>D1463*E1463</f>
        <v>2.6794489139140912E-3</v>
      </c>
      <c r="G1463" s="302"/>
      <c r="H1463" s="83"/>
      <c r="I1463" s="54"/>
      <c r="J1463" s="54"/>
      <c r="K1463" s="58"/>
    </row>
    <row r="1464" spans="1:11" s="3" customFormat="1" ht="12" customHeight="1" x14ac:dyDescent="0.2">
      <c r="A1464" s="205"/>
      <c r="B1464" s="12" t="s">
        <v>110</v>
      </c>
      <c r="C1464" s="11" t="s">
        <v>17</v>
      </c>
      <c r="D1464" s="11">
        <v>2</v>
      </c>
      <c r="E1464" s="44">
        <f>VLOOKUP(B1464,'Costo de Materiales'!B$4:D$350,3,FALSE)</f>
        <v>7.7991102315713726E-2</v>
      </c>
      <c r="F1464" s="206">
        <f t="shared" ref="F1464:F1470" si="136">D1464*E1464</f>
        <v>0.15598220463142745</v>
      </c>
      <c r="G1464" s="302"/>
      <c r="H1464" s="83"/>
      <c r="I1464" s="53"/>
      <c r="J1464" s="53"/>
      <c r="K1464" s="58"/>
    </row>
    <row r="1465" spans="1:11" s="3" customFormat="1" ht="12" customHeight="1" x14ac:dyDescent="0.2">
      <c r="A1465" s="205"/>
      <c r="B1465" s="12" t="s">
        <v>303</v>
      </c>
      <c r="C1465" s="11" t="s">
        <v>17</v>
      </c>
      <c r="D1465" s="11">
        <v>2</v>
      </c>
      <c r="E1465" s="44">
        <f>VLOOKUP(B1465,'Costo de Materiales'!B$4:D$350,3,FALSE)</f>
        <v>3.1914150456798192E-2</v>
      </c>
      <c r="F1465" s="206">
        <f t="shared" si="136"/>
        <v>6.3828300913596384E-2</v>
      </c>
      <c r="G1465" s="302"/>
      <c r="H1465" s="83"/>
      <c r="I1465" s="53"/>
      <c r="J1465" s="53"/>
      <c r="K1465" s="58"/>
    </row>
    <row r="1466" spans="1:11" s="3" customFormat="1" ht="12" customHeight="1" x14ac:dyDescent="0.2">
      <c r="A1466" s="205"/>
      <c r="B1466" s="10" t="s">
        <v>275</v>
      </c>
      <c r="C1466" s="11" t="s">
        <v>18</v>
      </c>
      <c r="D1466" s="11">
        <v>0.01</v>
      </c>
      <c r="E1466" s="44">
        <f>VLOOKUP(B1466,'Costo de Materiales'!B$4:D$350,3,FALSE)</f>
        <v>0.41866389279907673</v>
      </c>
      <c r="F1466" s="206">
        <f t="shared" si="136"/>
        <v>4.186638927990767E-3</v>
      </c>
      <c r="G1466" s="302"/>
      <c r="H1466" s="83"/>
      <c r="I1466" s="53"/>
      <c r="J1466" s="53"/>
      <c r="K1466" s="58"/>
    </row>
    <row r="1467" spans="1:11" s="3" customFormat="1" ht="12" customHeight="1" x14ac:dyDescent="0.2">
      <c r="A1467" s="205"/>
      <c r="B1467" s="10" t="s">
        <v>111</v>
      </c>
      <c r="C1467" s="11" t="s">
        <v>11</v>
      </c>
      <c r="D1467" s="11">
        <v>0.03</v>
      </c>
      <c r="E1467" s="44">
        <f>SUM(F1462:F1466)</f>
        <v>0.52782751239005887</v>
      </c>
      <c r="F1467" s="206">
        <f t="shared" si="136"/>
        <v>1.5834825371701767E-2</v>
      </c>
      <c r="G1467" s="302"/>
      <c r="H1467" s="83"/>
      <c r="I1467" s="53"/>
      <c r="J1467" s="53"/>
      <c r="K1467" s="58"/>
    </row>
    <row r="1468" spans="1:11" s="3" customFormat="1" ht="12" customHeight="1" x14ac:dyDescent="0.2">
      <c r="A1468" s="205"/>
      <c r="B1468" s="15" t="s">
        <v>266</v>
      </c>
      <c r="C1468" s="20" t="s">
        <v>33</v>
      </c>
      <c r="D1468" s="20">
        <v>0.25</v>
      </c>
      <c r="E1468" s="44">
        <f>VLOOKUP(B1468,'Costo de Materiales'!B$4:D$350,3,FALSE)</f>
        <v>0.87720053729330372</v>
      </c>
      <c r="F1468" s="206">
        <f t="shared" si="136"/>
        <v>0.21930013432332593</v>
      </c>
      <c r="G1468" s="302"/>
      <c r="H1468" s="83"/>
      <c r="I1468" s="54"/>
      <c r="J1468" s="54"/>
      <c r="K1468" s="58"/>
    </row>
    <row r="1469" spans="1:11" s="41" customFormat="1" ht="12" customHeight="1" x14ac:dyDescent="0.2">
      <c r="A1469" s="205"/>
      <c r="B1469" s="15" t="s">
        <v>10</v>
      </c>
      <c r="C1469" s="20" t="s">
        <v>33</v>
      </c>
      <c r="D1469" s="20">
        <v>0.25</v>
      </c>
      <c r="E1469" s="44">
        <f>VLOOKUP(B1469,'Costo de Materiales'!B$4:D$350,3,FALSE)</f>
        <v>0.35088021491732146</v>
      </c>
      <c r="F1469" s="224">
        <f>D1469*E1469</f>
        <v>8.7720053729330366E-2</v>
      </c>
      <c r="G1469" s="302"/>
      <c r="H1469" s="83"/>
      <c r="I1469" s="54"/>
      <c r="J1469" s="54"/>
      <c r="K1469" s="66"/>
    </row>
    <row r="1470" spans="1:11" s="3" customFormat="1" ht="12" customHeight="1" x14ac:dyDescent="0.2">
      <c r="A1470" s="207"/>
      <c r="B1470" s="27" t="s">
        <v>93</v>
      </c>
      <c r="C1470" s="28" t="s">
        <v>11</v>
      </c>
      <c r="D1470" s="80">
        <f>VLOOKUP(B1470,'Costo de Materiales'!B$4:D$350,3,FALSE)</f>
        <v>0.28999999999999998</v>
      </c>
      <c r="E1470" s="45">
        <f>F1468+F1469</f>
        <v>0.3070201880526563</v>
      </c>
      <c r="F1470" s="208">
        <f t="shared" si="136"/>
        <v>8.9035854535270326E-2</v>
      </c>
      <c r="G1470" s="307"/>
      <c r="H1470" s="83"/>
      <c r="I1470" s="54"/>
      <c r="J1470" s="54"/>
      <c r="K1470" s="58"/>
    </row>
    <row r="1471" spans="1:11" s="3" customFormat="1" ht="12" customHeight="1" x14ac:dyDescent="0.2">
      <c r="A1471" s="209">
        <v>12</v>
      </c>
      <c r="B1471" s="93" t="s">
        <v>261</v>
      </c>
      <c r="C1471" s="95" t="s">
        <v>17</v>
      </c>
      <c r="D1471" s="95"/>
      <c r="E1471" s="94"/>
      <c r="F1471" s="210">
        <f>SUM(F1472:F1478)</f>
        <v>2.5536937728191997</v>
      </c>
      <c r="G1471" s="303"/>
      <c r="H1471" s="83"/>
      <c r="I1471" s="53"/>
      <c r="J1471" s="53"/>
      <c r="K1471" s="58"/>
    </row>
    <row r="1472" spans="1:11" s="3" customFormat="1" ht="12" customHeight="1" x14ac:dyDescent="0.2">
      <c r="A1472" s="211"/>
      <c r="B1472" s="12" t="s">
        <v>329</v>
      </c>
      <c r="C1472" s="11" t="s">
        <v>17</v>
      </c>
      <c r="D1472" s="21">
        <v>1</v>
      </c>
      <c r="E1472" s="48">
        <f>VLOOKUP(B1472,'Costo de Materiales'!B$4:D$350,3,FALSE)</f>
        <v>1.0717795655656364</v>
      </c>
      <c r="F1472" s="206">
        <f t="shared" ref="F1472:F1478" si="137">D1472*E1472</f>
        <v>1.0717795655656364</v>
      </c>
      <c r="G1472" s="302"/>
      <c r="H1472" s="83"/>
      <c r="I1472" s="53"/>
      <c r="J1472" s="53"/>
      <c r="K1472" s="58"/>
    </row>
    <row r="1473" spans="1:11" s="3" customFormat="1" ht="12" customHeight="1" x14ac:dyDescent="0.2">
      <c r="A1473" s="211"/>
      <c r="B1473" s="17" t="s">
        <v>328</v>
      </c>
      <c r="C1473" s="11" t="s">
        <v>17</v>
      </c>
      <c r="D1473" s="21">
        <v>1</v>
      </c>
      <c r="E1473" s="48">
        <f>VLOOKUP(B1473,'Costo de Materiales'!B$4:D$350,3,FALSE)</f>
        <v>0.89622781440222932</v>
      </c>
      <c r="F1473" s="206">
        <f t="shared" si="137"/>
        <v>0.89622781440222932</v>
      </c>
      <c r="G1473" s="302"/>
      <c r="H1473" s="83"/>
      <c r="I1473" s="53"/>
      <c r="J1473" s="53"/>
      <c r="K1473" s="58"/>
    </row>
    <row r="1474" spans="1:11" s="3" customFormat="1" ht="12" customHeight="1" x14ac:dyDescent="0.2">
      <c r="A1474" s="211"/>
      <c r="B1474" s="12" t="s">
        <v>227</v>
      </c>
      <c r="C1474" s="11" t="s">
        <v>17</v>
      </c>
      <c r="D1474" s="21">
        <v>1</v>
      </c>
      <c r="E1474" s="48">
        <f>VLOOKUP(B1474,'Costo de Materiales'!B$4:D$350,3,FALSE)</f>
        <v>0.10014440315753916</v>
      </c>
      <c r="F1474" s="206">
        <f t="shared" si="137"/>
        <v>0.10014440315753916</v>
      </c>
      <c r="G1474" s="302"/>
      <c r="H1474" s="83"/>
      <c r="I1474" s="53"/>
      <c r="J1474" s="53"/>
      <c r="K1474" s="58"/>
    </row>
    <row r="1475" spans="1:11" s="3" customFormat="1" ht="12" customHeight="1" x14ac:dyDescent="0.2">
      <c r="A1475" s="205"/>
      <c r="B1475" s="12" t="s">
        <v>107</v>
      </c>
      <c r="C1475" s="20" t="s">
        <v>568</v>
      </c>
      <c r="D1475" s="20">
        <v>0.5</v>
      </c>
      <c r="E1475" s="44">
        <f>VLOOKUP(B1475,'Costo de Materiales'!B$4:D$350,3,FALSE)</f>
        <v>2.054947717656707E-2</v>
      </c>
      <c r="F1475" s="206">
        <f t="shared" si="137"/>
        <v>1.0274738588283535E-2</v>
      </c>
      <c r="G1475" s="302"/>
      <c r="H1475" s="83"/>
      <c r="I1475" s="53"/>
      <c r="J1475" s="53"/>
      <c r="K1475" s="58"/>
    </row>
    <row r="1476" spans="1:11" s="3" customFormat="1" ht="12" customHeight="1" x14ac:dyDescent="0.2">
      <c r="A1476" s="211"/>
      <c r="B1476" s="15" t="s">
        <v>266</v>
      </c>
      <c r="C1476" s="20" t="s">
        <v>33</v>
      </c>
      <c r="D1476" s="20">
        <v>0.3</v>
      </c>
      <c r="E1476" s="48">
        <f>VLOOKUP(B1476,'Costo de Materiales'!B$4:D$350,3,FALSE)</f>
        <v>0.87720053729330372</v>
      </c>
      <c r="F1476" s="206">
        <f t="shared" si="137"/>
        <v>0.26316016118799113</v>
      </c>
      <c r="G1476" s="302"/>
      <c r="H1476" s="83"/>
      <c r="I1476" s="53"/>
      <c r="J1476" s="53"/>
      <c r="K1476" s="58"/>
    </row>
    <row r="1477" spans="1:11" s="41" customFormat="1" ht="12" customHeight="1" x14ac:dyDescent="0.2">
      <c r="A1477" s="211"/>
      <c r="B1477" s="15" t="s">
        <v>10</v>
      </c>
      <c r="C1477" s="20" t="s">
        <v>33</v>
      </c>
      <c r="D1477" s="20">
        <v>0.3</v>
      </c>
      <c r="E1477" s="48">
        <f>VLOOKUP(B1477,'Costo de Materiales'!B$4:D$350,3,FALSE)</f>
        <v>0.35088021491732146</v>
      </c>
      <c r="F1477" s="206">
        <f>D1477*E1477</f>
        <v>0.10526406447519644</v>
      </c>
      <c r="G1477" s="302"/>
      <c r="H1477" s="83"/>
      <c r="I1477" s="53"/>
      <c r="J1477" s="53"/>
      <c r="K1477" s="66"/>
    </row>
    <row r="1478" spans="1:11" s="3" customFormat="1" ht="12" customHeight="1" x14ac:dyDescent="0.2">
      <c r="A1478" s="212"/>
      <c r="B1478" s="26" t="s">
        <v>109</v>
      </c>
      <c r="C1478" s="23" t="s">
        <v>11</v>
      </c>
      <c r="D1478" s="80">
        <f>VLOOKUP(B1478,'Costo de Materiales'!B$4:D$350,3,FALSE)</f>
        <v>0.28999999999999998</v>
      </c>
      <c r="E1478" s="51">
        <f>F1476+F1477</f>
        <v>0.36842422566318755</v>
      </c>
      <c r="F1478" s="208">
        <f t="shared" si="137"/>
        <v>0.10684302544232438</v>
      </c>
      <c r="G1478" s="307"/>
      <c r="H1478" s="83"/>
      <c r="I1478" s="53"/>
      <c r="J1478" s="53"/>
      <c r="K1478" s="58"/>
    </row>
    <row r="1479" spans="1:11" s="3" customFormat="1" ht="12" customHeight="1" x14ac:dyDescent="0.2">
      <c r="A1479" s="209">
        <v>13</v>
      </c>
      <c r="B1479" s="93" t="s">
        <v>259</v>
      </c>
      <c r="C1479" s="95" t="s">
        <v>17</v>
      </c>
      <c r="D1479" s="95"/>
      <c r="E1479" s="94"/>
      <c r="F1479" s="210">
        <f>SUM(F1480:F1489)</f>
        <v>1.7884726170681773</v>
      </c>
      <c r="G1479" s="302"/>
      <c r="H1479" s="83"/>
      <c r="I1479" s="53"/>
      <c r="J1479" s="53"/>
      <c r="K1479" s="58"/>
    </row>
    <row r="1480" spans="1:11" s="3" customFormat="1" ht="12" customHeight="1" x14ac:dyDescent="0.2">
      <c r="A1480" s="205"/>
      <c r="B1480" s="15" t="s">
        <v>63</v>
      </c>
      <c r="C1480" s="20" t="s">
        <v>17</v>
      </c>
      <c r="D1480" s="20">
        <v>1</v>
      </c>
      <c r="E1480" s="44">
        <f>VLOOKUP(B1480,'Costo de Materiales'!B$4:D$350,3,FALSE)</f>
        <v>1.2295799676743628</v>
      </c>
      <c r="F1480" s="206">
        <f>D1480*E1480</f>
        <v>1.2295799676743628</v>
      </c>
      <c r="G1480" s="302"/>
      <c r="H1480" s="83"/>
      <c r="I1480" s="53"/>
      <c r="J1480" s="53"/>
      <c r="K1480" s="58"/>
    </row>
    <row r="1481" spans="1:11" s="3" customFormat="1" ht="12" customHeight="1" x14ac:dyDescent="0.2">
      <c r="A1481" s="205"/>
      <c r="B1481" s="15" t="s">
        <v>54</v>
      </c>
      <c r="C1481" s="20" t="s">
        <v>17</v>
      </c>
      <c r="D1481" s="20">
        <v>1</v>
      </c>
      <c r="E1481" s="44">
        <f>VLOOKUP(B1481,'Costo de Materiales'!B$4:D$350,3,FALSE)</f>
        <v>6.7943168888535882E-2</v>
      </c>
      <c r="F1481" s="206">
        <f t="shared" ref="F1481:F1489" si="138">D1481*E1481</f>
        <v>6.7943168888535882E-2</v>
      </c>
      <c r="G1481" s="302"/>
      <c r="H1481" s="83"/>
      <c r="I1481" s="53"/>
      <c r="J1481" s="53"/>
      <c r="K1481" s="58"/>
    </row>
    <row r="1482" spans="1:11" s="3" customFormat="1" ht="12" customHeight="1" x14ac:dyDescent="0.2">
      <c r="A1482" s="205"/>
      <c r="B1482" s="12" t="s">
        <v>107</v>
      </c>
      <c r="C1482" s="20" t="s">
        <v>568</v>
      </c>
      <c r="D1482" s="20">
        <v>0.5</v>
      </c>
      <c r="E1482" s="44">
        <f>VLOOKUP(B1482,'Costo de Materiales'!B$4:D$350,3,FALSE)</f>
        <v>2.054947717656707E-2</v>
      </c>
      <c r="F1482" s="206">
        <f>D1482*E1482</f>
        <v>1.0274738588283535E-2</v>
      </c>
      <c r="G1482" s="302"/>
      <c r="H1482" s="83"/>
      <c r="I1482" s="53"/>
      <c r="J1482" s="53"/>
      <c r="K1482" s="58"/>
    </row>
    <row r="1483" spans="1:11" s="3" customFormat="1" ht="12" customHeight="1" x14ac:dyDescent="0.2">
      <c r="A1483" s="205"/>
      <c r="B1483" s="15" t="s">
        <v>268</v>
      </c>
      <c r="C1483" s="20" t="s">
        <v>17</v>
      </c>
      <c r="D1483" s="20">
        <v>4</v>
      </c>
      <c r="E1483" s="44">
        <f>VLOOKUP(B1483,'Costo de Materiales'!B$4:D$350,3,FALSE)</f>
        <v>9.5694604068360402E-4</v>
      </c>
      <c r="F1483" s="206">
        <f t="shared" si="138"/>
        <v>3.8277841627344161E-3</v>
      </c>
      <c r="G1483" s="302"/>
      <c r="H1483" s="83"/>
      <c r="I1483" s="53"/>
      <c r="J1483" s="53"/>
      <c r="K1483" s="58"/>
    </row>
    <row r="1484" spans="1:11" s="3" customFormat="1" ht="12" customHeight="1" x14ac:dyDescent="0.2">
      <c r="A1484" s="205"/>
      <c r="B1484" s="15" t="s">
        <v>301</v>
      </c>
      <c r="C1484" s="20" t="s">
        <v>17</v>
      </c>
      <c r="D1484" s="20">
        <v>4</v>
      </c>
      <c r="E1484" s="109">
        <f>VLOOKUP(B1484,'Costo de Materiales'!B$4:D$350,3,FALSE)</f>
        <v>4.6131479375966894E-4</v>
      </c>
      <c r="F1484" s="206">
        <f t="shared" si="138"/>
        <v>1.8452591750386757E-3</v>
      </c>
      <c r="G1484" s="302"/>
      <c r="H1484" s="83"/>
      <c r="I1484" s="53"/>
      <c r="J1484" s="53"/>
      <c r="K1484" s="58"/>
    </row>
    <row r="1485" spans="1:11" s="3" customFormat="1" ht="12" customHeight="1" x14ac:dyDescent="0.2">
      <c r="A1485" s="205"/>
      <c r="B1485" s="15" t="s">
        <v>227</v>
      </c>
      <c r="C1485" s="20" t="s">
        <v>17</v>
      </c>
      <c r="D1485" s="20">
        <v>0.15</v>
      </c>
      <c r="E1485" s="44">
        <f>VLOOKUP(B1485,'Costo de Materiales'!B$4:D$350,3,FALSE)</f>
        <v>0.10014440315753916</v>
      </c>
      <c r="F1485" s="206">
        <f t="shared" si="138"/>
        <v>1.5021660473630873E-2</v>
      </c>
      <c r="G1485" s="302"/>
      <c r="H1485" s="83"/>
      <c r="I1485" s="53"/>
      <c r="J1485" s="53"/>
      <c r="K1485" s="58"/>
    </row>
    <row r="1486" spans="1:11" s="3" customFormat="1" ht="12" customHeight="1" x14ac:dyDescent="0.2">
      <c r="A1486" s="205"/>
      <c r="B1486" s="10" t="s">
        <v>502</v>
      </c>
      <c r="C1486" s="11" t="s">
        <v>17</v>
      </c>
      <c r="D1486" s="20">
        <v>1</v>
      </c>
      <c r="E1486" s="44">
        <f>VLOOKUP(B1486,'Costo de Materiales'!B$4:D$350,3,FALSE)</f>
        <v>6.3923995517664742E-2</v>
      </c>
      <c r="F1486" s="206">
        <f t="shared" si="138"/>
        <v>6.3923995517664742E-2</v>
      </c>
      <c r="G1486" s="302"/>
      <c r="H1486" s="83"/>
      <c r="I1486" s="53"/>
      <c r="J1486" s="53"/>
      <c r="K1486" s="58"/>
    </row>
    <row r="1487" spans="1:11" s="3" customFormat="1" ht="12" customHeight="1" x14ac:dyDescent="0.2">
      <c r="A1487" s="205"/>
      <c r="B1487" s="15" t="s">
        <v>266</v>
      </c>
      <c r="C1487" s="20" t="s">
        <v>33</v>
      </c>
      <c r="D1487" s="20">
        <v>0.25</v>
      </c>
      <c r="E1487" s="44">
        <f>VLOOKUP(B1487,'Costo de Materiales'!B$4:D$350,3,FALSE)</f>
        <v>0.87720053729330372</v>
      </c>
      <c r="F1487" s="206">
        <f t="shared" si="138"/>
        <v>0.21930013432332593</v>
      </c>
      <c r="G1487" s="302"/>
      <c r="H1487" s="83"/>
      <c r="I1487" s="53"/>
      <c r="J1487" s="53"/>
      <c r="K1487" s="58"/>
    </row>
    <row r="1488" spans="1:11" s="41" customFormat="1" ht="12" customHeight="1" x14ac:dyDescent="0.2">
      <c r="A1488" s="211"/>
      <c r="B1488" s="15" t="s">
        <v>10</v>
      </c>
      <c r="C1488" s="20" t="s">
        <v>33</v>
      </c>
      <c r="D1488" s="20">
        <v>0.25</v>
      </c>
      <c r="E1488" s="48">
        <f>VLOOKUP(B1488,'Costo de Materiales'!B$4:D$350,3,FALSE)</f>
        <v>0.35088021491732146</v>
      </c>
      <c r="F1488" s="206">
        <f t="shared" si="138"/>
        <v>8.7720053729330366E-2</v>
      </c>
      <c r="G1488" s="302"/>
      <c r="H1488" s="83"/>
      <c r="I1488" s="53"/>
      <c r="J1488" s="53"/>
      <c r="K1488" s="66"/>
    </row>
    <row r="1489" spans="1:11" s="3" customFormat="1" ht="12" customHeight="1" x14ac:dyDescent="0.2">
      <c r="A1489" s="207"/>
      <c r="B1489" s="27" t="s">
        <v>109</v>
      </c>
      <c r="C1489" s="28" t="s">
        <v>11</v>
      </c>
      <c r="D1489" s="80">
        <f>VLOOKUP(B1489,'Costo de Materiales'!B$4:D$350,3,FALSE)</f>
        <v>0.28999999999999998</v>
      </c>
      <c r="E1489" s="45">
        <f>F1487+F1488</f>
        <v>0.3070201880526563</v>
      </c>
      <c r="F1489" s="208">
        <f t="shared" si="138"/>
        <v>8.9035854535270326E-2</v>
      </c>
      <c r="G1489" s="302"/>
      <c r="H1489" s="83"/>
      <c r="I1489" s="53"/>
      <c r="J1489" s="53"/>
      <c r="K1489" s="58"/>
    </row>
    <row r="1490" spans="1:11" ht="12" customHeight="1" x14ac:dyDescent="0.2">
      <c r="A1490" s="209">
        <v>14</v>
      </c>
      <c r="B1490" s="88" t="s">
        <v>262</v>
      </c>
      <c r="C1490" s="95" t="s">
        <v>17</v>
      </c>
      <c r="D1490" s="91"/>
      <c r="E1490" s="94"/>
      <c r="F1490" s="210">
        <f>SUM(F1491:F1499)</f>
        <v>3.3027102273493374</v>
      </c>
      <c r="G1490" s="303"/>
      <c r="H1490" s="83"/>
      <c r="I1490" s="53"/>
      <c r="J1490" s="53"/>
    </row>
    <row r="1491" spans="1:11" s="3" customFormat="1" ht="12" customHeight="1" x14ac:dyDescent="0.2">
      <c r="A1491" s="205"/>
      <c r="B1491" s="12" t="s">
        <v>481</v>
      </c>
      <c r="C1491" s="20" t="s">
        <v>17</v>
      </c>
      <c r="D1491" s="11">
        <v>1</v>
      </c>
      <c r="E1491" s="44">
        <f>VLOOKUP(B1491,'Costo de Materiales'!B$4:D$350,3,FALSE)</f>
        <v>0.8990508052222459</v>
      </c>
      <c r="F1491" s="206">
        <f>D1491*E1491</f>
        <v>0.8990508052222459</v>
      </c>
      <c r="G1491" s="302"/>
      <c r="H1491" s="83"/>
      <c r="I1491" s="53"/>
      <c r="J1491" s="53"/>
      <c r="K1491" s="58"/>
    </row>
    <row r="1492" spans="1:11" s="3" customFormat="1" ht="12" customHeight="1" x14ac:dyDescent="0.2">
      <c r="A1492" s="205"/>
      <c r="B1492" s="10" t="s">
        <v>317</v>
      </c>
      <c r="C1492" s="20" t="s">
        <v>17</v>
      </c>
      <c r="D1492" s="11">
        <v>2</v>
      </c>
      <c r="E1492" s="44">
        <f>VLOOKUP(B1492,'Costo de Materiales'!B$4:D$350,3,FALSE)</f>
        <v>0.90527095448668937</v>
      </c>
      <c r="F1492" s="206">
        <f>D1492*E1492</f>
        <v>1.8105419089733787</v>
      </c>
      <c r="G1492" s="302"/>
      <c r="H1492" s="83"/>
      <c r="I1492" s="53"/>
      <c r="J1492" s="53"/>
      <c r="K1492" s="58"/>
    </row>
    <row r="1493" spans="1:11" s="3" customFormat="1" ht="12" customHeight="1" x14ac:dyDescent="0.2">
      <c r="A1493" s="205"/>
      <c r="B1493" s="12" t="s">
        <v>62</v>
      </c>
      <c r="C1493" s="11" t="s">
        <v>17</v>
      </c>
      <c r="D1493" s="11">
        <v>1</v>
      </c>
      <c r="E1493" s="44">
        <f>VLOOKUP(B1493,'Costo de Materiales'!B$4:D$350,3,FALSE)</f>
        <v>7.0000602876005638E-2</v>
      </c>
      <c r="F1493" s="206">
        <f t="shared" ref="F1493:F1499" si="139">D1493*E1493</f>
        <v>7.0000602876005638E-2</v>
      </c>
      <c r="G1493" s="302"/>
      <c r="H1493" s="83"/>
      <c r="I1493" s="53"/>
      <c r="J1493" s="53"/>
      <c r="K1493" s="58"/>
    </row>
    <row r="1494" spans="1:11" s="3" customFormat="1" ht="12" customHeight="1" x14ac:dyDescent="0.2">
      <c r="A1494" s="205"/>
      <c r="B1494" s="12" t="s">
        <v>105</v>
      </c>
      <c r="C1494" s="11" t="s">
        <v>568</v>
      </c>
      <c r="D1494" s="11">
        <v>0.5</v>
      </c>
      <c r="E1494" s="44">
        <f>VLOOKUP(B1494,'Costo de Materiales'!B$4:D$350,3,FALSE)</f>
        <v>1.1556168570949283E-2</v>
      </c>
      <c r="F1494" s="206">
        <f t="shared" si="139"/>
        <v>5.7780842854746415E-3</v>
      </c>
      <c r="G1494" s="302"/>
      <c r="H1494" s="83"/>
      <c r="I1494" s="53"/>
      <c r="J1494" s="53"/>
      <c r="K1494" s="58"/>
    </row>
    <row r="1495" spans="1:11" s="3" customFormat="1" ht="12" customHeight="1" x14ac:dyDescent="0.2">
      <c r="A1495" s="205"/>
      <c r="B1495" s="12" t="s">
        <v>90</v>
      </c>
      <c r="C1495" s="11" t="s">
        <v>17</v>
      </c>
      <c r="D1495" s="11">
        <v>1</v>
      </c>
      <c r="E1495" s="44">
        <f>VLOOKUP(B1495,'Costo de Materiales'!B$4:D$350,3,FALSE)</f>
        <v>9.8320627760899136E-3</v>
      </c>
      <c r="F1495" s="206">
        <f t="shared" si="139"/>
        <v>9.8320627760899136E-3</v>
      </c>
      <c r="G1495" s="302"/>
      <c r="H1495" s="83"/>
      <c r="I1495" s="53"/>
      <c r="J1495" s="53"/>
      <c r="K1495" s="58"/>
    </row>
    <row r="1496" spans="1:11" s="3" customFormat="1" ht="12" customHeight="1" x14ac:dyDescent="0.2">
      <c r="A1496" s="205"/>
      <c r="B1496" s="10" t="s">
        <v>502</v>
      </c>
      <c r="C1496" s="11" t="s">
        <v>17</v>
      </c>
      <c r="D1496" s="20">
        <v>1</v>
      </c>
      <c r="E1496" s="44">
        <f>VLOOKUP(B1496,'Costo de Materiales'!B$4:D$350,3,FALSE)</f>
        <v>6.3923995517664742E-2</v>
      </c>
      <c r="F1496" s="206">
        <f t="shared" si="139"/>
        <v>6.3923995517664742E-2</v>
      </c>
      <c r="G1496" s="302"/>
      <c r="H1496" s="83"/>
      <c r="I1496" s="53"/>
      <c r="J1496" s="53"/>
      <c r="K1496" s="58"/>
    </row>
    <row r="1497" spans="1:11" s="3" customFormat="1" ht="12" customHeight="1" x14ac:dyDescent="0.2">
      <c r="A1497" s="205"/>
      <c r="B1497" s="15" t="s">
        <v>266</v>
      </c>
      <c r="C1497" s="11" t="s">
        <v>33</v>
      </c>
      <c r="D1497" s="11">
        <v>0.28000000000000003</v>
      </c>
      <c r="E1497" s="44">
        <f>VLOOKUP(B1497,'Costo de Materiales'!B$4:D$350,3,FALSE)</f>
        <v>0.87720053729330372</v>
      </c>
      <c r="F1497" s="206">
        <f t="shared" si="139"/>
        <v>0.24561615044212506</v>
      </c>
      <c r="G1497" s="302"/>
      <c r="H1497" s="83"/>
      <c r="I1497" s="53"/>
      <c r="J1497" s="53"/>
      <c r="K1497" s="58"/>
    </row>
    <row r="1498" spans="1:11" s="41" customFormat="1" ht="12" customHeight="1" x14ac:dyDescent="0.2">
      <c r="A1498" s="211"/>
      <c r="B1498" s="15" t="s">
        <v>10</v>
      </c>
      <c r="C1498" s="20" t="s">
        <v>33</v>
      </c>
      <c r="D1498" s="20">
        <v>0.28000000000000003</v>
      </c>
      <c r="E1498" s="48">
        <f>VLOOKUP(B1498,'Costo de Materiales'!B$4:D$350,3,FALSE)</f>
        <v>0.35088021491732146</v>
      </c>
      <c r="F1498" s="206">
        <f t="shared" si="139"/>
        <v>9.8246460176850015E-2</v>
      </c>
      <c r="G1498" s="302"/>
      <c r="H1498" s="83"/>
      <c r="I1498" s="53"/>
      <c r="J1498" s="53"/>
      <c r="K1498" s="66"/>
    </row>
    <row r="1499" spans="1:11" s="3" customFormat="1" ht="12" customHeight="1" x14ac:dyDescent="0.2">
      <c r="A1499" s="207"/>
      <c r="B1499" s="26" t="s">
        <v>109</v>
      </c>
      <c r="C1499" s="23" t="s">
        <v>11</v>
      </c>
      <c r="D1499" s="80">
        <f>VLOOKUP(B1499,'Costo de Materiales'!B$4:D$350,3,FALSE)</f>
        <v>0.28999999999999998</v>
      </c>
      <c r="E1499" s="45">
        <f>F1497+F1498</f>
        <v>0.34386261061897505</v>
      </c>
      <c r="F1499" s="208">
        <f t="shared" si="139"/>
        <v>9.9720157079502755E-2</v>
      </c>
      <c r="G1499" s="307"/>
      <c r="H1499" s="83"/>
      <c r="I1499" s="53"/>
      <c r="J1499" s="53"/>
      <c r="K1499" s="58"/>
    </row>
    <row r="1500" spans="1:11" s="41" customFormat="1" ht="12" customHeight="1" x14ac:dyDescent="0.2">
      <c r="A1500" s="209">
        <v>15</v>
      </c>
      <c r="B1500" s="88" t="s">
        <v>480</v>
      </c>
      <c r="C1500" s="95" t="s">
        <v>17</v>
      </c>
      <c r="D1500" s="91"/>
      <c r="E1500" s="94"/>
      <c r="F1500" s="210">
        <f>SUM(F1501:F1509)</f>
        <v>4.9740739041656923</v>
      </c>
      <c r="G1500" s="302"/>
      <c r="H1500" s="83"/>
      <c r="I1500" s="53"/>
      <c r="J1500" s="53"/>
      <c r="K1500" s="66"/>
    </row>
    <row r="1501" spans="1:11" s="41" customFormat="1" ht="12" customHeight="1" x14ac:dyDescent="0.2">
      <c r="A1501" s="205"/>
      <c r="B1501" s="12" t="s">
        <v>482</v>
      </c>
      <c r="C1501" s="20" t="s">
        <v>17</v>
      </c>
      <c r="D1501" s="11">
        <v>1</v>
      </c>
      <c r="E1501" s="44">
        <f>VLOOKUP(B1501,'Costo de Materiales'!B$4:D$350,3,FALSE)</f>
        <v>2.412078190147092</v>
      </c>
      <c r="F1501" s="206">
        <f>D1501*E1501</f>
        <v>2.412078190147092</v>
      </c>
      <c r="G1501" s="302"/>
      <c r="H1501" s="83"/>
      <c r="I1501" s="53"/>
      <c r="J1501" s="53"/>
      <c r="K1501" s="66"/>
    </row>
    <row r="1502" spans="1:11" s="41" customFormat="1" ht="12" customHeight="1" x14ac:dyDescent="0.2">
      <c r="A1502" s="205"/>
      <c r="B1502" s="10" t="s">
        <v>317</v>
      </c>
      <c r="C1502" s="20" t="s">
        <v>17</v>
      </c>
      <c r="D1502" s="11">
        <v>2</v>
      </c>
      <c r="E1502" s="44">
        <f>VLOOKUP(B1502,'Costo de Materiales'!B$4:D$350,3,FALSE)</f>
        <v>0.90527095448668937</v>
      </c>
      <c r="F1502" s="206">
        <f>D1502*E1502</f>
        <v>1.8105419089733787</v>
      </c>
      <c r="G1502" s="302"/>
      <c r="H1502" s="83"/>
      <c r="I1502" s="53"/>
      <c r="J1502" s="53"/>
      <c r="K1502" s="66"/>
    </row>
    <row r="1503" spans="1:11" s="41" customFormat="1" ht="12" customHeight="1" x14ac:dyDescent="0.2">
      <c r="A1503" s="205"/>
      <c r="B1503" s="12" t="s">
        <v>483</v>
      </c>
      <c r="C1503" s="11" t="s">
        <v>17</v>
      </c>
      <c r="D1503" s="11">
        <v>1</v>
      </c>
      <c r="E1503" s="44">
        <f>VLOOKUP(B1503,'Costo de Materiales'!B$4:D$350,3,FALSE)</f>
        <v>0.19665241136048062</v>
      </c>
      <c r="F1503" s="206">
        <f t="shared" ref="F1503:F1509" si="140">D1503*E1503</f>
        <v>0.19665241136048062</v>
      </c>
      <c r="G1503" s="302"/>
      <c r="H1503" s="83"/>
      <c r="I1503" s="53"/>
      <c r="J1503" s="53"/>
      <c r="K1503" s="66"/>
    </row>
    <row r="1504" spans="1:11" s="41" customFormat="1" ht="12" customHeight="1" x14ac:dyDescent="0.2">
      <c r="A1504" s="205"/>
      <c r="B1504" s="12" t="s">
        <v>105</v>
      </c>
      <c r="C1504" s="11" t="s">
        <v>568</v>
      </c>
      <c r="D1504" s="11">
        <v>0.5</v>
      </c>
      <c r="E1504" s="44">
        <f>VLOOKUP(B1504,'Costo de Materiales'!B$4:D$350,3,FALSE)</f>
        <v>1.1556168570949283E-2</v>
      </c>
      <c r="F1504" s="206">
        <f t="shared" si="140"/>
        <v>5.7780842854746415E-3</v>
      </c>
      <c r="G1504" s="302"/>
      <c r="H1504" s="83"/>
      <c r="I1504" s="53"/>
      <c r="J1504" s="53"/>
      <c r="K1504" s="66"/>
    </row>
    <row r="1505" spans="1:11" s="41" customFormat="1" ht="12" customHeight="1" x14ac:dyDescent="0.2">
      <c r="A1505" s="205"/>
      <c r="B1505" s="12" t="s">
        <v>90</v>
      </c>
      <c r="C1505" s="11" t="s">
        <v>17</v>
      </c>
      <c r="D1505" s="11">
        <v>1</v>
      </c>
      <c r="E1505" s="44">
        <f>VLOOKUP(B1505,'Costo de Materiales'!B$4:D$350,3,FALSE)</f>
        <v>9.8320627760899136E-3</v>
      </c>
      <c r="F1505" s="206">
        <f t="shared" si="140"/>
        <v>9.8320627760899136E-3</v>
      </c>
      <c r="G1505" s="302"/>
      <c r="H1505" s="83"/>
      <c r="I1505" s="53"/>
      <c r="J1505" s="53"/>
      <c r="K1505" s="66"/>
    </row>
    <row r="1506" spans="1:11" s="41" customFormat="1" ht="12" customHeight="1" x14ac:dyDescent="0.2">
      <c r="A1506" s="205"/>
      <c r="B1506" s="10" t="s">
        <v>502</v>
      </c>
      <c r="C1506" s="11" t="s">
        <v>17</v>
      </c>
      <c r="D1506" s="20">
        <v>1</v>
      </c>
      <c r="E1506" s="44">
        <f>VLOOKUP(B1506,'Costo de Materiales'!B$4:D$350,3,FALSE)</f>
        <v>6.3923995517664742E-2</v>
      </c>
      <c r="F1506" s="206">
        <f t="shared" si="140"/>
        <v>6.3923995517664742E-2</v>
      </c>
      <c r="G1506" s="302"/>
      <c r="H1506" s="83"/>
      <c r="I1506" s="53"/>
      <c r="J1506" s="53"/>
      <c r="K1506" s="66"/>
    </row>
    <row r="1507" spans="1:11" s="41" customFormat="1" ht="12" customHeight="1" x14ac:dyDescent="0.2">
      <c r="A1507" s="205"/>
      <c r="B1507" s="15" t="s">
        <v>266</v>
      </c>
      <c r="C1507" s="11" t="s">
        <v>33</v>
      </c>
      <c r="D1507" s="11">
        <v>0.3</v>
      </c>
      <c r="E1507" s="44">
        <f>VLOOKUP(B1507,'Costo de Materiales'!B$4:D$350,3,FALSE)</f>
        <v>0.87720053729330372</v>
      </c>
      <c r="F1507" s="206">
        <f t="shared" si="140"/>
        <v>0.26316016118799113</v>
      </c>
      <c r="G1507" s="302"/>
      <c r="H1507" s="83"/>
      <c r="I1507" s="53"/>
      <c r="J1507" s="53"/>
      <c r="K1507" s="66"/>
    </row>
    <row r="1508" spans="1:11" s="41" customFormat="1" ht="12" customHeight="1" x14ac:dyDescent="0.2">
      <c r="A1508" s="211"/>
      <c r="B1508" s="15" t="s">
        <v>10</v>
      </c>
      <c r="C1508" s="20" t="s">
        <v>33</v>
      </c>
      <c r="D1508" s="20">
        <v>0.3</v>
      </c>
      <c r="E1508" s="48">
        <f>VLOOKUP(B1508,'Costo de Materiales'!B$4:D$350,3,FALSE)</f>
        <v>0.35088021491732146</v>
      </c>
      <c r="F1508" s="206">
        <f t="shared" si="140"/>
        <v>0.10526406447519644</v>
      </c>
      <c r="G1508" s="302"/>
      <c r="H1508" s="83"/>
      <c r="I1508" s="53"/>
      <c r="J1508" s="53"/>
      <c r="K1508" s="66"/>
    </row>
    <row r="1509" spans="1:11" s="41" customFormat="1" ht="12" customHeight="1" x14ac:dyDescent="0.2">
      <c r="A1509" s="207"/>
      <c r="B1509" s="26" t="s">
        <v>109</v>
      </c>
      <c r="C1509" s="23" t="s">
        <v>11</v>
      </c>
      <c r="D1509" s="80">
        <f>VLOOKUP(B1509,'Costo de Materiales'!B$4:D$350,3,FALSE)</f>
        <v>0.28999999999999998</v>
      </c>
      <c r="E1509" s="45">
        <f>F1507+F1508</f>
        <v>0.36842422566318755</v>
      </c>
      <c r="F1509" s="208">
        <f t="shared" si="140"/>
        <v>0.10684302544232438</v>
      </c>
      <c r="G1509" s="302"/>
      <c r="H1509" s="83"/>
      <c r="I1509" s="53"/>
      <c r="J1509" s="53"/>
      <c r="K1509" s="66"/>
    </row>
    <row r="1510" spans="1:11" s="3" customFormat="1" ht="12" customHeight="1" x14ac:dyDescent="0.2">
      <c r="A1510" s="209">
        <v>16</v>
      </c>
      <c r="B1510" s="93" t="s">
        <v>367</v>
      </c>
      <c r="C1510" s="95" t="s">
        <v>17</v>
      </c>
      <c r="D1510" s="95"/>
      <c r="E1510" s="94"/>
      <c r="F1510" s="223">
        <f>SUM(F1511:F1515)</f>
        <v>0.26688686792517835</v>
      </c>
      <c r="G1510" s="303"/>
      <c r="H1510" s="83"/>
      <c r="I1510" s="53"/>
      <c r="J1510" s="53"/>
      <c r="K1510" s="58"/>
    </row>
    <row r="1511" spans="1:11" s="3" customFormat="1" ht="12" customHeight="1" x14ac:dyDescent="0.2">
      <c r="A1511" s="205"/>
      <c r="B1511" s="12" t="s">
        <v>78</v>
      </c>
      <c r="C1511" s="20" t="s">
        <v>17</v>
      </c>
      <c r="D1511" s="20">
        <v>1</v>
      </c>
      <c r="E1511" s="44">
        <f>VLOOKUP(B1511,'Costo de Materiales'!B$4:D$350,3,FALSE)</f>
        <v>8.8039035742891569E-2</v>
      </c>
      <c r="F1511" s="224">
        <f>D1511*E1511</f>
        <v>8.8039035742891569E-2</v>
      </c>
      <c r="G1511" s="302"/>
      <c r="H1511" s="83"/>
      <c r="I1511" s="54"/>
      <c r="J1511" s="54"/>
      <c r="K1511" s="58"/>
    </row>
    <row r="1512" spans="1:11" s="3" customFormat="1" ht="12" customHeight="1" x14ac:dyDescent="0.2">
      <c r="A1512" s="205"/>
      <c r="B1512" s="15" t="s">
        <v>275</v>
      </c>
      <c r="C1512" s="20" t="s">
        <v>18</v>
      </c>
      <c r="D1512" s="20">
        <v>1.4999999999999999E-2</v>
      </c>
      <c r="E1512" s="44">
        <f>VLOOKUP(B1512,'Costo de Materiales'!B$4:D$350,3,FALSE)</f>
        <v>0.41866389279907673</v>
      </c>
      <c r="F1512" s="224">
        <f>D1512*E1512</f>
        <v>6.2799583919861506E-3</v>
      </c>
      <c r="G1512" s="302"/>
      <c r="H1512" s="83"/>
      <c r="I1512" s="54"/>
      <c r="J1512" s="54"/>
      <c r="K1512" s="58"/>
    </row>
    <row r="1513" spans="1:11" s="3" customFormat="1" ht="12" customHeight="1" x14ac:dyDescent="0.2">
      <c r="A1513" s="205"/>
      <c r="B1513" s="15" t="s">
        <v>111</v>
      </c>
      <c r="C1513" s="20" t="s">
        <v>11</v>
      </c>
      <c r="D1513" s="20">
        <v>0.03</v>
      </c>
      <c r="E1513" s="44">
        <f>SUM(F1511:F1512)</f>
        <v>9.4318994134877723E-2</v>
      </c>
      <c r="F1513" s="224">
        <f>D1513*E1513</f>
        <v>2.8295698240463317E-3</v>
      </c>
      <c r="G1513" s="302"/>
      <c r="H1513" s="83"/>
      <c r="I1513" s="54"/>
      <c r="J1513" s="54"/>
      <c r="K1513" s="58"/>
    </row>
    <row r="1514" spans="1:11" s="3" customFormat="1" ht="12" customHeight="1" x14ac:dyDescent="0.2">
      <c r="A1514" s="205"/>
      <c r="B1514" s="15" t="s">
        <v>266</v>
      </c>
      <c r="C1514" s="20" t="s">
        <v>33</v>
      </c>
      <c r="D1514" s="20">
        <v>0.15</v>
      </c>
      <c r="E1514" s="44">
        <f>VLOOKUP(B1514,'Costo de Materiales'!B$4:D$350,3,FALSE)</f>
        <v>0.87720053729330372</v>
      </c>
      <c r="F1514" s="224">
        <f>D1514*E1514</f>
        <v>0.13158008059399556</v>
      </c>
      <c r="G1514" s="302"/>
      <c r="H1514" s="83"/>
      <c r="I1514" s="54"/>
      <c r="J1514" s="54"/>
      <c r="K1514" s="58"/>
    </row>
    <row r="1515" spans="1:11" s="3" customFormat="1" ht="12" customHeight="1" x14ac:dyDescent="0.2">
      <c r="A1515" s="207"/>
      <c r="B1515" s="27" t="s">
        <v>109</v>
      </c>
      <c r="C1515" s="28" t="s">
        <v>11</v>
      </c>
      <c r="D1515" s="80">
        <f>VLOOKUP(B1515,'Costo de Materiales'!B$4:D$350,3,FALSE)</f>
        <v>0.28999999999999998</v>
      </c>
      <c r="E1515" s="45">
        <f>F1514</f>
        <v>0.13158008059399556</v>
      </c>
      <c r="F1515" s="225">
        <f>D1515*E1515</f>
        <v>3.8158223372258708E-2</v>
      </c>
      <c r="G1515" s="307"/>
      <c r="H1515" s="83"/>
      <c r="I1515" s="54"/>
      <c r="J1515" s="54"/>
      <c r="K1515" s="58"/>
    </row>
    <row r="1516" spans="1:11" s="3" customFormat="1" ht="12" customHeight="1" x14ac:dyDescent="0.2">
      <c r="A1516" s="209">
        <v>17</v>
      </c>
      <c r="B1516" s="93" t="s">
        <v>368</v>
      </c>
      <c r="C1516" s="95" t="s">
        <v>17</v>
      </c>
      <c r="D1516" s="95"/>
      <c r="E1516" s="94"/>
      <c r="F1516" s="223">
        <f>SUM(F1517:F1521)</f>
        <v>0.38414278209094627</v>
      </c>
      <c r="G1516" s="302"/>
      <c r="H1516" s="83"/>
      <c r="I1516" s="53"/>
      <c r="J1516" s="53"/>
      <c r="K1516" s="58"/>
    </row>
    <row r="1517" spans="1:11" s="3" customFormat="1" ht="12" customHeight="1" x14ac:dyDescent="0.2">
      <c r="A1517" s="205"/>
      <c r="B1517" s="12" t="s">
        <v>79</v>
      </c>
      <c r="C1517" s="20" t="s">
        <v>17</v>
      </c>
      <c r="D1517" s="20">
        <v>1</v>
      </c>
      <c r="E1517" s="44">
        <f>VLOOKUP(B1517,'Costo de Materiales'!B$4:D$350,3,FALSE)</f>
        <v>0.20062373742931758</v>
      </c>
      <c r="F1517" s="224">
        <f>D1517*E1517</f>
        <v>0.20062373742931758</v>
      </c>
      <c r="G1517" s="302"/>
      <c r="H1517" s="83"/>
      <c r="I1517" s="54"/>
      <c r="J1517" s="54"/>
      <c r="K1517" s="58"/>
    </row>
    <row r="1518" spans="1:11" s="3" customFormat="1" ht="12" customHeight="1" x14ac:dyDescent="0.2">
      <c r="A1518" s="205"/>
      <c r="B1518" s="12" t="s">
        <v>275</v>
      </c>
      <c r="C1518" s="20" t="s">
        <v>18</v>
      </c>
      <c r="D1518" s="20">
        <v>1.7999999999999999E-2</v>
      </c>
      <c r="E1518" s="44">
        <f>VLOOKUP(B1518,'Costo de Materiales'!B$4:D$350,3,FALSE)</f>
        <v>0.41866389279907673</v>
      </c>
      <c r="F1518" s="224">
        <f>D1518*E1518</f>
        <v>7.535950070383381E-3</v>
      </c>
      <c r="G1518" s="302"/>
      <c r="H1518" s="83"/>
      <c r="I1518" s="54"/>
      <c r="J1518" s="54"/>
      <c r="K1518" s="58"/>
    </row>
    <row r="1519" spans="1:11" s="3" customFormat="1" ht="12" customHeight="1" x14ac:dyDescent="0.2">
      <c r="A1519" s="205"/>
      <c r="B1519" s="12" t="s">
        <v>111</v>
      </c>
      <c r="C1519" s="20" t="s">
        <v>11</v>
      </c>
      <c r="D1519" s="20">
        <v>0.03</v>
      </c>
      <c r="E1519" s="44">
        <f>SUM(F1517:F1518)</f>
        <v>0.20815968749970096</v>
      </c>
      <c r="F1519" s="224">
        <f>D1519*E1519</f>
        <v>6.2447906249910286E-3</v>
      </c>
      <c r="G1519" s="302"/>
      <c r="H1519" s="83"/>
      <c r="I1519" s="54"/>
      <c r="J1519" s="54"/>
      <c r="K1519" s="58"/>
    </row>
    <row r="1520" spans="1:11" s="3" customFormat="1" ht="12" customHeight="1" x14ac:dyDescent="0.2">
      <c r="A1520" s="205"/>
      <c r="B1520" s="15" t="s">
        <v>266</v>
      </c>
      <c r="C1520" s="20" t="s">
        <v>33</v>
      </c>
      <c r="D1520" s="20">
        <v>0.15</v>
      </c>
      <c r="E1520" s="44">
        <f>VLOOKUP(B1520,'Costo de Materiales'!B$4:D$350,3,FALSE)</f>
        <v>0.87720053729330372</v>
      </c>
      <c r="F1520" s="224">
        <f>D1520*E1520</f>
        <v>0.13158008059399556</v>
      </c>
      <c r="G1520" s="302"/>
      <c r="H1520" s="83"/>
      <c r="I1520" s="54"/>
      <c r="J1520" s="54"/>
      <c r="K1520" s="58"/>
    </row>
    <row r="1521" spans="1:11" s="3" customFormat="1" ht="12" customHeight="1" x14ac:dyDescent="0.2">
      <c r="A1521" s="207"/>
      <c r="B1521" s="26" t="s">
        <v>109</v>
      </c>
      <c r="C1521" s="28" t="s">
        <v>11</v>
      </c>
      <c r="D1521" s="80">
        <f>VLOOKUP(B1521,'Costo de Materiales'!B$4:D$350,3,FALSE)</f>
        <v>0.28999999999999998</v>
      </c>
      <c r="E1521" s="45">
        <f>F1520</f>
        <v>0.13158008059399556</v>
      </c>
      <c r="F1521" s="225">
        <f>D1521*E1521</f>
        <v>3.8158223372258708E-2</v>
      </c>
      <c r="G1521" s="302"/>
      <c r="H1521" s="83"/>
      <c r="I1521" s="54"/>
      <c r="J1521" s="54"/>
      <c r="K1521" s="58"/>
    </row>
    <row r="1522" spans="1:11" s="1" customFormat="1" ht="12" customHeight="1" x14ac:dyDescent="0.2">
      <c r="A1522" s="209">
        <v>18</v>
      </c>
      <c r="B1522" s="93" t="s">
        <v>271</v>
      </c>
      <c r="C1522" s="95" t="s">
        <v>17</v>
      </c>
      <c r="D1522" s="95"/>
      <c r="E1522" s="94"/>
      <c r="F1522" s="223">
        <f>SUM(F1523:F1526)</f>
        <v>0.24732055108608594</v>
      </c>
      <c r="G1522" s="303"/>
      <c r="H1522" s="83"/>
      <c r="I1522" s="53"/>
      <c r="J1522" s="53"/>
      <c r="K1522" s="62"/>
    </row>
    <row r="1523" spans="1:11" s="3" customFormat="1" ht="12" customHeight="1" x14ac:dyDescent="0.2">
      <c r="A1523" s="205"/>
      <c r="B1523" s="15" t="s">
        <v>276</v>
      </c>
      <c r="C1523" s="20" t="s">
        <v>17</v>
      </c>
      <c r="D1523" s="20">
        <v>1</v>
      </c>
      <c r="E1523" s="44">
        <f>VLOOKUP(B1523,'Costo de Materiales'!B$4:D$350,3,FALSE)</f>
        <v>0.10818274989928144</v>
      </c>
      <c r="F1523" s="224">
        <f>D1523*E1523</f>
        <v>0.10818274989928144</v>
      </c>
      <c r="G1523" s="302"/>
      <c r="H1523" s="83"/>
      <c r="I1523" s="54"/>
      <c r="J1523" s="54"/>
      <c r="K1523" s="58"/>
    </row>
    <row r="1524" spans="1:11" s="3" customFormat="1" ht="12" customHeight="1" x14ac:dyDescent="0.2">
      <c r="A1524" s="205"/>
      <c r="B1524" s="15" t="s">
        <v>275</v>
      </c>
      <c r="C1524" s="20" t="s">
        <v>18</v>
      </c>
      <c r="D1524" s="20">
        <v>0.01</v>
      </c>
      <c r="E1524" s="44">
        <f>VLOOKUP(B1524,'Costo de Materiales'!B$4:D$350,3,FALSE)</f>
        <v>0.41866389279907673</v>
      </c>
      <c r="F1524" s="224">
        <f>D1524*E1524</f>
        <v>4.186638927990767E-3</v>
      </c>
      <c r="G1524" s="302"/>
      <c r="H1524" s="83"/>
      <c r="I1524" s="54"/>
      <c r="J1524" s="54"/>
      <c r="K1524" s="58"/>
    </row>
    <row r="1525" spans="1:11" s="3" customFormat="1" ht="12" customHeight="1" x14ac:dyDescent="0.2">
      <c r="A1525" s="205"/>
      <c r="B1525" s="15" t="s">
        <v>111</v>
      </c>
      <c r="C1525" s="20" t="s">
        <v>11</v>
      </c>
      <c r="D1525" s="20">
        <v>0.03</v>
      </c>
      <c r="E1525" s="44">
        <f>SUM(F1523:F1524)</f>
        <v>0.11236938882727221</v>
      </c>
      <c r="F1525" s="224">
        <f>D1525*E1525</f>
        <v>3.371081664818166E-3</v>
      </c>
      <c r="G1525" s="302"/>
      <c r="H1525" s="83"/>
      <c r="I1525" s="54"/>
      <c r="J1525" s="54"/>
      <c r="K1525" s="58"/>
    </row>
    <row r="1526" spans="1:11" s="41" customFormat="1" ht="12" customHeight="1" x14ac:dyDescent="0.2">
      <c r="A1526" s="205"/>
      <c r="B1526" s="15" t="s">
        <v>266</v>
      </c>
      <c r="C1526" s="20" t="s">
        <v>33</v>
      </c>
      <c r="D1526" s="20">
        <v>0.15</v>
      </c>
      <c r="E1526" s="44">
        <f>VLOOKUP(B1526,'Costo de Materiales'!B$4:D$350,3,FALSE)</f>
        <v>0.87720053729330372</v>
      </c>
      <c r="F1526" s="224">
        <f>D1526*E1526</f>
        <v>0.13158008059399556</v>
      </c>
      <c r="G1526" s="302"/>
      <c r="H1526" s="83"/>
      <c r="I1526" s="54"/>
      <c r="J1526" s="54"/>
      <c r="K1526" s="66"/>
    </row>
    <row r="1527" spans="1:11" s="3" customFormat="1" ht="12" customHeight="1" x14ac:dyDescent="0.2">
      <c r="A1527" s="207"/>
      <c r="B1527" s="26" t="s">
        <v>109</v>
      </c>
      <c r="C1527" s="28" t="s">
        <v>11</v>
      </c>
      <c r="D1527" s="80">
        <f>VLOOKUP(B1527,'Costo de Materiales'!B$4:D$350,3,FALSE)</f>
        <v>0.28999999999999998</v>
      </c>
      <c r="E1527" s="45">
        <f>F1526</f>
        <v>0.13158008059399556</v>
      </c>
      <c r="F1527" s="225">
        <f>D1527*E1527</f>
        <v>3.8158223372258708E-2</v>
      </c>
      <c r="G1527" s="307"/>
      <c r="H1527" s="83"/>
      <c r="I1527" s="54"/>
      <c r="J1527" s="54"/>
      <c r="K1527" s="58"/>
    </row>
    <row r="1528" spans="1:11" s="3" customFormat="1" ht="12" customHeight="1" x14ac:dyDescent="0.2">
      <c r="A1528" s="209">
        <v>19</v>
      </c>
      <c r="B1528" s="93" t="s">
        <v>270</v>
      </c>
      <c r="C1528" s="95" t="s">
        <v>17</v>
      </c>
      <c r="D1528" s="95"/>
      <c r="E1528" s="94"/>
      <c r="F1528" s="223">
        <f>SUM(F1529:F1535)</f>
        <v>0.45555963836690638</v>
      </c>
      <c r="G1528" s="302"/>
      <c r="H1528" s="83"/>
      <c r="I1528" s="53"/>
      <c r="J1528" s="53"/>
      <c r="K1528" s="58"/>
    </row>
    <row r="1529" spans="1:11" s="3" customFormat="1" ht="12" customHeight="1" x14ac:dyDescent="0.2">
      <c r="A1529" s="205"/>
      <c r="B1529" s="12" t="s">
        <v>64</v>
      </c>
      <c r="C1529" s="20" t="s">
        <v>17</v>
      </c>
      <c r="D1529" s="20">
        <v>1</v>
      </c>
      <c r="E1529" s="44">
        <f>VLOOKUP(B1529,'Costo de Materiales'!B$4:D$350,3,FALSE)</f>
        <v>0.19660456405844645</v>
      </c>
      <c r="F1529" s="224">
        <f>D1529*E1529</f>
        <v>0.19660456405844645</v>
      </c>
      <c r="G1529" s="302"/>
      <c r="H1529" s="83"/>
      <c r="I1529" s="54"/>
      <c r="J1529" s="54"/>
      <c r="K1529" s="58"/>
    </row>
    <row r="1530" spans="1:11" s="3" customFormat="1" ht="12" customHeight="1" x14ac:dyDescent="0.2">
      <c r="A1530" s="205"/>
      <c r="B1530" s="12" t="s">
        <v>68</v>
      </c>
      <c r="C1530" s="20" t="s">
        <v>568</v>
      </c>
      <c r="D1530" s="20">
        <v>0.5</v>
      </c>
      <c r="E1530" s="44">
        <f>VLOOKUP(B1530,'Costo de Materiales'!B$4:D$350,3,FALSE)</f>
        <v>0.12977390915360384</v>
      </c>
      <c r="F1530" s="224">
        <f t="shared" ref="F1530:F1535" si="141">D1530*E1530</f>
        <v>6.4886954576801922E-2</v>
      </c>
      <c r="G1530" s="302"/>
      <c r="H1530" s="83"/>
      <c r="I1530" s="54"/>
      <c r="J1530" s="54"/>
      <c r="K1530" s="58"/>
    </row>
    <row r="1531" spans="1:11" s="3" customFormat="1" ht="12" customHeight="1" x14ac:dyDescent="0.2">
      <c r="A1531" s="205"/>
      <c r="B1531" s="15" t="s">
        <v>324</v>
      </c>
      <c r="C1531" s="20" t="s">
        <v>17</v>
      </c>
      <c r="D1531" s="20">
        <v>1</v>
      </c>
      <c r="E1531" s="44">
        <f>VLOOKUP(B1531,'Costo de Materiales'!B$4:D$350,3,FALSE)</f>
        <v>1.181828360244251E-2</v>
      </c>
      <c r="F1531" s="224">
        <f t="shared" si="141"/>
        <v>1.181828360244251E-2</v>
      </c>
      <c r="G1531" s="302"/>
      <c r="H1531" s="83"/>
      <c r="I1531" s="54"/>
      <c r="J1531" s="54"/>
      <c r="K1531" s="58"/>
    </row>
    <row r="1532" spans="1:11" s="3" customFormat="1" ht="12" customHeight="1" x14ac:dyDescent="0.2">
      <c r="A1532" s="205"/>
      <c r="B1532" s="15" t="s">
        <v>275</v>
      </c>
      <c r="C1532" s="20" t="s">
        <v>18</v>
      </c>
      <c r="D1532" s="20">
        <v>0.01</v>
      </c>
      <c r="E1532" s="44">
        <f>VLOOKUP(B1532,'Costo de Materiales'!B$4:D$350,3,FALSE)</f>
        <v>0.41866389279907673</v>
      </c>
      <c r="F1532" s="224">
        <f t="shared" si="141"/>
        <v>4.186638927990767E-3</v>
      </c>
      <c r="G1532" s="302"/>
      <c r="H1532" s="83"/>
      <c r="I1532" s="54"/>
      <c r="J1532" s="54"/>
      <c r="K1532" s="58"/>
    </row>
    <row r="1533" spans="1:11" s="3" customFormat="1" ht="12" customHeight="1" x14ac:dyDescent="0.2">
      <c r="A1533" s="205"/>
      <c r="B1533" s="15" t="s">
        <v>111</v>
      </c>
      <c r="C1533" s="20" t="s">
        <v>11</v>
      </c>
      <c r="D1533" s="20">
        <v>0.03</v>
      </c>
      <c r="E1533" s="44">
        <f>SUM(F1529:F1532)</f>
        <v>0.27749644116568167</v>
      </c>
      <c r="F1533" s="224">
        <f t="shared" si="141"/>
        <v>8.3248932349704492E-3</v>
      </c>
      <c r="G1533" s="302"/>
      <c r="H1533" s="83"/>
      <c r="I1533" s="54"/>
      <c r="J1533" s="54"/>
      <c r="K1533" s="58"/>
    </row>
    <row r="1534" spans="1:11" s="3" customFormat="1" ht="12" customHeight="1" x14ac:dyDescent="0.2">
      <c r="A1534" s="205"/>
      <c r="B1534" s="15" t="s">
        <v>266</v>
      </c>
      <c r="C1534" s="20" t="s">
        <v>33</v>
      </c>
      <c r="D1534" s="20">
        <v>0.15</v>
      </c>
      <c r="E1534" s="44">
        <f>VLOOKUP(B1534,'Costo de Materiales'!B$4:D$350,3,FALSE)</f>
        <v>0.87720053729330372</v>
      </c>
      <c r="F1534" s="224">
        <f t="shared" si="141"/>
        <v>0.13158008059399556</v>
      </c>
      <c r="G1534" s="302"/>
      <c r="H1534" s="83"/>
      <c r="I1534" s="54"/>
      <c r="J1534" s="54"/>
      <c r="K1534" s="58"/>
    </row>
    <row r="1535" spans="1:11" s="3" customFormat="1" ht="12" customHeight="1" x14ac:dyDescent="0.2">
      <c r="A1535" s="207"/>
      <c r="B1535" s="27" t="s">
        <v>109</v>
      </c>
      <c r="C1535" s="28" t="s">
        <v>11</v>
      </c>
      <c r="D1535" s="80">
        <f>VLOOKUP(B1535,'Costo de Materiales'!B$4:D$350,3,FALSE)</f>
        <v>0.28999999999999998</v>
      </c>
      <c r="E1535" s="45">
        <f>F1534</f>
        <v>0.13158008059399556</v>
      </c>
      <c r="F1535" s="225">
        <f t="shared" si="141"/>
        <v>3.8158223372258708E-2</v>
      </c>
      <c r="G1535" s="302"/>
      <c r="H1535" s="83"/>
      <c r="I1535" s="54"/>
      <c r="J1535" s="54"/>
      <c r="K1535" s="58"/>
    </row>
    <row r="1536" spans="1:11" s="3" customFormat="1" ht="12" customHeight="1" x14ac:dyDescent="0.2">
      <c r="A1536" s="209">
        <v>20</v>
      </c>
      <c r="B1536" s="93" t="s">
        <v>414</v>
      </c>
      <c r="C1536" s="95" t="s">
        <v>17</v>
      </c>
      <c r="D1536" s="95"/>
      <c r="E1536" s="94"/>
      <c r="F1536" s="210">
        <f>SUM(F1537:F1549)</f>
        <v>2.2105555081914887</v>
      </c>
      <c r="G1536" s="303"/>
      <c r="H1536" s="83"/>
      <c r="I1536" s="53"/>
      <c r="J1536" s="53"/>
      <c r="K1536" s="58"/>
    </row>
    <row r="1537" spans="1:11" s="3" customFormat="1" ht="12" customHeight="1" x14ac:dyDescent="0.2">
      <c r="A1537" s="205"/>
      <c r="B1537" s="15" t="s">
        <v>267</v>
      </c>
      <c r="C1537" s="20" t="s">
        <v>17</v>
      </c>
      <c r="D1537" s="20">
        <v>1</v>
      </c>
      <c r="E1537" s="44">
        <f>VLOOKUP(B1537,'Costo de Materiales'!B$4:D$350,3,FALSE)</f>
        <v>1.0852246574372411</v>
      </c>
      <c r="F1537" s="206">
        <f>D1537*E1537</f>
        <v>1.0852246574372411</v>
      </c>
      <c r="G1537" s="302"/>
      <c r="H1537" s="83"/>
      <c r="I1537" s="53"/>
      <c r="J1537" s="53"/>
      <c r="K1537" s="58"/>
    </row>
    <row r="1538" spans="1:11" s="3" customFormat="1" ht="12" customHeight="1" x14ac:dyDescent="0.2">
      <c r="A1538" s="205"/>
      <c r="B1538" s="15" t="s">
        <v>331</v>
      </c>
      <c r="C1538" s="20" t="s">
        <v>17</v>
      </c>
      <c r="D1538" s="20">
        <v>1</v>
      </c>
      <c r="E1538" s="44">
        <f>VLOOKUP(B1538,'Costo de Materiales'!B$4:D$350,3,FALSE)</f>
        <v>3.9713260688369568E-3</v>
      </c>
      <c r="F1538" s="206">
        <f t="shared" ref="F1538:F1549" si="142">D1538*E1538</f>
        <v>3.9713260688369568E-3</v>
      </c>
      <c r="G1538" s="302"/>
      <c r="H1538" s="83"/>
      <c r="I1538" s="53"/>
      <c r="J1538" s="53"/>
      <c r="K1538" s="58"/>
    </row>
    <row r="1539" spans="1:11" s="3" customFormat="1" ht="12" customHeight="1" x14ac:dyDescent="0.2">
      <c r="A1539" s="205"/>
      <c r="B1539" s="12" t="s">
        <v>105</v>
      </c>
      <c r="C1539" s="20" t="s">
        <v>568</v>
      </c>
      <c r="D1539" s="20">
        <v>0.3</v>
      </c>
      <c r="E1539" s="44">
        <f>VLOOKUP(B1539,'Costo de Materiales'!B$4:D$350,3,FALSE)</f>
        <v>1.1556168570949283E-2</v>
      </c>
      <c r="F1539" s="206">
        <f t="shared" si="142"/>
        <v>3.4668505712847847E-3</v>
      </c>
      <c r="G1539" s="302"/>
      <c r="H1539" s="83"/>
      <c r="I1539" s="53"/>
      <c r="J1539" s="53"/>
      <c r="K1539" s="58"/>
    </row>
    <row r="1540" spans="1:11" s="3" customFormat="1" ht="12" customHeight="1" x14ac:dyDescent="0.2">
      <c r="A1540" s="205"/>
      <c r="B1540" s="15" t="s">
        <v>100</v>
      </c>
      <c r="C1540" s="20" t="s">
        <v>17</v>
      </c>
      <c r="D1540" s="20">
        <v>1</v>
      </c>
      <c r="E1540" s="44">
        <f>VLOOKUP(B1540,'Costo de Materiales'!B$4:D$350,3,FALSE)</f>
        <v>1.6728485955527388E-2</v>
      </c>
      <c r="F1540" s="206">
        <f t="shared" si="142"/>
        <v>1.6728485955527388E-2</v>
      </c>
      <c r="G1540" s="302"/>
      <c r="H1540" s="83"/>
      <c r="I1540" s="53"/>
      <c r="J1540" s="53"/>
      <c r="K1540" s="58"/>
    </row>
    <row r="1541" spans="1:11" s="3" customFormat="1" ht="12" customHeight="1" x14ac:dyDescent="0.2">
      <c r="A1541" s="205"/>
      <c r="B1541" s="15" t="s">
        <v>325</v>
      </c>
      <c r="C1541" s="20" t="s">
        <v>17</v>
      </c>
      <c r="D1541" s="20">
        <v>0.4</v>
      </c>
      <c r="E1541" s="44">
        <f>VLOOKUP(B1541,'Costo de Materiales'!B$4:D$350,3,FALSE)</f>
        <v>0.19263323798960949</v>
      </c>
      <c r="F1541" s="206">
        <f t="shared" si="142"/>
        <v>7.7053295195843807E-2</v>
      </c>
      <c r="G1541" s="302"/>
      <c r="H1541" s="83"/>
      <c r="I1541" s="53"/>
      <c r="J1541" s="53"/>
      <c r="K1541" s="58"/>
    </row>
    <row r="1542" spans="1:11" s="3" customFormat="1" ht="12" customHeight="1" x14ac:dyDescent="0.2">
      <c r="A1542" s="205"/>
      <c r="B1542" s="15" t="s">
        <v>227</v>
      </c>
      <c r="C1542" s="20" t="s">
        <v>17</v>
      </c>
      <c r="D1542" s="20">
        <v>0.5</v>
      </c>
      <c r="E1542" s="44">
        <f>VLOOKUP(B1542,'Costo de Materiales'!B$4:D$350,3,FALSE)</f>
        <v>0.10014440315753916</v>
      </c>
      <c r="F1542" s="206">
        <f t="shared" si="142"/>
        <v>5.0072201578769578E-2</v>
      </c>
      <c r="G1542" s="302"/>
      <c r="H1542" s="83"/>
      <c r="I1542" s="53"/>
      <c r="J1542" s="53"/>
      <c r="K1542" s="58"/>
    </row>
    <row r="1543" spans="1:11" s="3" customFormat="1" ht="12" customHeight="1" x14ac:dyDescent="0.2">
      <c r="A1543" s="205"/>
      <c r="B1543" s="15" t="s">
        <v>221</v>
      </c>
      <c r="C1543" s="11" t="s">
        <v>6</v>
      </c>
      <c r="D1543" s="20">
        <v>1.4999999999999999E-2</v>
      </c>
      <c r="E1543" s="44">
        <f>F325</f>
        <v>0.17504666396685931</v>
      </c>
      <c r="F1543" s="206">
        <f t="shared" si="142"/>
        <v>2.6256999595028895E-3</v>
      </c>
      <c r="G1543" s="302"/>
      <c r="H1543" s="83"/>
      <c r="I1543" s="53"/>
      <c r="J1543" s="53"/>
      <c r="K1543" s="58"/>
    </row>
    <row r="1544" spans="1:11" s="3" customFormat="1" ht="12" customHeight="1" x14ac:dyDescent="0.2">
      <c r="A1544" s="205"/>
      <c r="B1544" s="12" t="s">
        <v>285</v>
      </c>
      <c r="C1544" s="20" t="s">
        <v>17</v>
      </c>
      <c r="D1544" s="20">
        <v>1</v>
      </c>
      <c r="E1544" s="44">
        <f>VLOOKUP(B1544,'Costo de Materiales'!B$4:D$350,3,FALSE)</f>
        <v>3.1770608550695655E-2</v>
      </c>
      <c r="F1544" s="206">
        <f t="shared" si="142"/>
        <v>3.1770608550695655E-2</v>
      </c>
      <c r="G1544" s="302"/>
      <c r="H1544" s="83"/>
      <c r="I1544" s="53"/>
      <c r="J1544" s="53"/>
      <c r="K1544" s="58"/>
    </row>
    <row r="1545" spans="1:11" s="3" customFormat="1" ht="12" customHeight="1" x14ac:dyDescent="0.2">
      <c r="A1545" s="205"/>
      <c r="B1545" s="10" t="s">
        <v>502</v>
      </c>
      <c r="C1545" s="11" t="s">
        <v>17</v>
      </c>
      <c r="D1545" s="20">
        <v>1</v>
      </c>
      <c r="E1545" s="44">
        <f>VLOOKUP(B1545,'Costo de Materiales'!B$4:D$350,3,FALSE)</f>
        <v>6.3923995517664742E-2</v>
      </c>
      <c r="F1545" s="206">
        <f t="shared" si="142"/>
        <v>6.3923995517664742E-2</v>
      </c>
      <c r="G1545" s="302"/>
      <c r="H1545" s="83"/>
      <c r="I1545" s="53"/>
      <c r="J1545" s="53"/>
      <c r="K1545" s="58"/>
    </row>
    <row r="1546" spans="1:11" s="3" customFormat="1" ht="12" customHeight="1" x14ac:dyDescent="0.2">
      <c r="A1546" s="205"/>
      <c r="B1546" s="15" t="s">
        <v>111</v>
      </c>
      <c r="C1546" s="20" t="s">
        <v>11</v>
      </c>
      <c r="D1546" s="20">
        <v>0.3</v>
      </c>
      <c r="E1546" s="44">
        <f>SUM(F1537:F1545)</f>
        <v>1.3348371208353669</v>
      </c>
      <c r="F1546" s="206">
        <f t="shared" si="142"/>
        <v>0.40045113625061007</v>
      </c>
      <c r="G1546" s="302"/>
      <c r="H1546" s="83"/>
      <c r="I1546" s="53"/>
      <c r="J1546" s="53"/>
      <c r="K1546" s="58"/>
    </row>
    <row r="1547" spans="1:11" s="3" customFormat="1" ht="12" customHeight="1" x14ac:dyDescent="0.2">
      <c r="A1547" s="205"/>
      <c r="B1547" s="15" t="s">
        <v>266</v>
      </c>
      <c r="C1547" s="20" t="s">
        <v>33</v>
      </c>
      <c r="D1547" s="20">
        <v>0.3</v>
      </c>
      <c r="E1547" s="44">
        <f>VLOOKUP(B1547,'Costo de Materiales'!B$4:D$350,3,FALSE)</f>
        <v>0.87720053729330372</v>
      </c>
      <c r="F1547" s="206">
        <f t="shared" si="142"/>
        <v>0.26316016118799113</v>
      </c>
      <c r="G1547" s="302"/>
      <c r="H1547" s="83"/>
      <c r="I1547" s="53"/>
      <c r="J1547" s="53"/>
      <c r="K1547" s="58"/>
    </row>
    <row r="1548" spans="1:11" s="3" customFormat="1" ht="12" customHeight="1" x14ac:dyDescent="0.2">
      <c r="A1548" s="205"/>
      <c r="B1548" s="15" t="s">
        <v>10</v>
      </c>
      <c r="C1548" s="20" t="s">
        <v>33</v>
      </c>
      <c r="D1548" s="20">
        <v>0.3</v>
      </c>
      <c r="E1548" s="44">
        <f>VLOOKUP(B1548,'Costo de Materiales'!B$4:D$350,3,FALSE)</f>
        <v>0.35088021491732146</v>
      </c>
      <c r="F1548" s="206">
        <f t="shared" si="142"/>
        <v>0.10526406447519644</v>
      </c>
      <c r="G1548" s="302"/>
      <c r="H1548" s="83"/>
      <c r="I1548" s="53"/>
      <c r="J1548" s="53"/>
      <c r="K1548" s="58"/>
    </row>
    <row r="1549" spans="1:11" s="3" customFormat="1" ht="12" customHeight="1" x14ac:dyDescent="0.2">
      <c r="A1549" s="207"/>
      <c r="B1549" s="27" t="s">
        <v>93</v>
      </c>
      <c r="C1549" s="28" t="s">
        <v>11</v>
      </c>
      <c r="D1549" s="80">
        <f>VLOOKUP(B1549,'Costo de Materiales'!B$4:D$350,3,FALSE)</f>
        <v>0.28999999999999998</v>
      </c>
      <c r="E1549" s="45">
        <f>SUM(F1547:F1548)</f>
        <v>0.36842422566318755</v>
      </c>
      <c r="F1549" s="208">
        <f t="shared" si="142"/>
        <v>0.10684302544232438</v>
      </c>
      <c r="G1549" s="307"/>
      <c r="H1549" s="83"/>
      <c r="I1549" s="53"/>
      <c r="J1549" s="53"/>
      <c r="K1549" s="58"/>
    </row>
    <row r="1550" spans="1:11" s="41" customFormat="1" ht="12" customHeight="1" x14ac:dyDescent="0.2">
      <c r="A1550" s="209">
        <v>21</v>
      </c>
      <c r="B1550" s="88" t="s">
        <v>591</v>
      </c>
      <c r="C1550" s="91" t="s">
        <v>17</v>
      </c>
      <c r="D1550" s="91"/>
      <c r="E1550" s="92"/>
      <c r="F1550" s="210">
        <f>SUM(F1551:F1559)</f>
        <v>8.4422383701588863</v>
      </c>
      <c r="G1550" s="303"/>
      <c r="H1550" s="83"/>
      <c r="I1550" s="53"/>
      <c r="J1550" s="53"/>
      <c r="K1550" s="66"/>
    </row>
    <row r="1551" spans="1:11" s="41" customFormat="1" ht="12" customHeight="1" x14ac:dyDescent="0.2">
      <c r="A1551" s="205"/>
      <c r="B1551" s="12" t="s">
        <v>554</v>
      </c>
      <c r="C1551" s="11" t="s">
        <v>17</v>
      </c>
      <c r="D1551" s="11">
        <v>1</v>
      </c>
      <c r="E1551" s="44">
        <f>VLOOKUP(B1551,'Costo de Materiales'!B$4:D$350,3,FALSE)</f>
        <v>6.7794635701105284</v>
      </c>
      <c r="F1551" s="206">
        <f>D1551*E1551</f>
        <v>6.7794635701105284</v>
      </c>
      <c r="G1551" s="302"/>
      <c r="H1551" s="83"/>
      <c r="I1551" s="53"/>
      <c r="J1551" s="53"/>
      <c r="K1551" s="66"/>
    </row>
    <row r="1552" spans="1:11" s="41" customFormat="1" ht="12" customHeight="1" x14ac:dyDescent="0.2">
      <c r="A1552" s="205"/>
      <c r="B1552" s="10" t="s">
        <v>556</v>
      </c>
      <c r="C1552" s="11" t="s">
        <v>17</v>
      </c>
      <c r="D1552" s="11">
        <v>1</v>
      </c>
      <c r="E1552" s="44">
        <f>VLOOKUP(B1552,'Costo de Materiales'!B$4:D$350,3,FALSE)</f>
        <v>0.22949246053195652</v>
      </c>
      <c r="F1552" s="206">
        <f t="shared" ref="F1552:F1559" si="143">D1552*E1552</f>
        <v>0.22949246053195652</v>
      </c>
      <c r="G1552" s="302"/>
      <c r="H1552" s="83"/>
      <c r="I1552" s="53"/>
      <c r="J1552" s="53"/>
      <c r="K1552" s="66"/>
    </row>
    <row r="1553" spans="1:11" s="41" customFormat="1" ht="12" customHeight="1" x14ac:dyDescent="0.2">
      <c r="A1553" s="205"/>
      <c r="B1553" s="10" t="s">
        <v>557</v>
      </c>
      <c r="C1553" s="11" t="s">
        <v>17</v>
      </c>
      <c r="D1553" s="11">
        <v>1</v>
      </c>
      <c r="E1553" s="44">
        <f>VLOOKUP(B1553,'Costo de Materiales'!B$4:D$350,3,FALSE)</f>
        <v>0.23718104042795099</v>
      </c>
      <c r="F1553" s="206">
        <f t="shared" si="143"/>
        <v>0.23718104042795099</v>
      </c>
      <c r="G1553" s="302"/>
      <c r="H1553" s="83"/>
      <c r="I1553" s="53"/>
      <c r="J1553" s="53"/>
      <c r="K1553" s="66"/>
    </row>
    <row r="1554" spans="1:11" s="41" customFormat="1" ht="12" customHeight="1" x14ac:dyDescent="0.2">
      <c r="A1554" s="205"/>
      <c r="B1554" s="10" t="s">
        <v>558</v>
      </c>
      <c r="C1554" s="11" t="s">
        <v>17</v>
      </c>
      <c r="D1554" s="11">
        <v>1</v>
      </c>
      <c r="E1554" s="44">
        <f>VLOOKUP(B1554,'Costo de Materiales'!B$4:D$350,3,FALSE)</f>
        <v>9.7388678682596777E-2</v>
      </c>
      <c r="F1554" s="206">
        <f t="shared" si="143"/>
        <v>9.7388678682596777E-2</v>
      </c>
      <c r="G1554" s="302"/>
      <c r="H1554" s="83"/>
      <c r="I1554" s="53"/>
      <c r="J1554" s="53"/>
      <c r="K1554" s="66"/>
    </row>
    <row r="1555" spans="1:11" s="41" customFormat="1" ht="12" customHeight="1" x14ac:dyDescent="0.2">
      <c r="A1555" s="205"/>
      <c r="B1555" s="10" t="s">
        <v>559</v>
      </c>
      <c r="C1555" s="11" t="s">
        <v>17</v>
      </c>
      <c r="D1555" s="11">
        <v>2</v>
      </c>
      <c r="E1555" s="44">
        <f>VLOOKUP(B1555,'Costo de Materiales'!B$4:D$350,3,FALSE)</f>
        <v>5.8246817393897594E-2</v>
      </c>
      <c r="F1555" s="206">
        <f t="shared" si="143"/>
        <v>0.11649363478779519</v>
      </c>
      <c r="G1555" s="302"/>
      <c r="H1555" s="83"/>
      <c r="I1555" s="53"/>
      <c r="J1555" s="53"/>
      <c r="K1555" s="66"/>
    </row>
    <row r="1556" spans="1:11" s="41" customFormat="1" ht="12" customHeight="1" x14ac:dyDescent="0.2">
      <c r="A1556" s="205"/>
      <c r="B1556" s="12" t="s">
        <v>355</v>
      </c>
      <c r="C1556" s="11" t="s">
        <v>33</v>
      </c>
      <c r="D1556" s="11">
        <v>0.35</v>
      </c>
      <c r="E1556" s="44">
        <f>VLOOKUP(B1556,'Costo de Materiales'!B$4:D$350,3,FALSE)</f>
        <v>0.94737658027676797</v>
      </c>
      <c r="F1556" s="206">
        <f t="shared" si="143"/>
        <v>0.33158180309686874</v>
      </c>
      <c r="G1556" s="302"/>
      <c r="H1556" s="83"/>
      <c r="I1556" s="53"/>
      <c r="J1556" s="53"/>
      <c r="K1556" s="66"/>
    </row>
    <row r="1557" spans="1:11" s="41" customFormat="1" ht="12" customHeight="1" x14ac:dyDescent="0.2">
      <c r="A1557" s="205"/>
      <c r="B1557" s="12" t="s">
        <v>266</v>
      </c>
      <c r="C1557" s="11" t="s">
        <v>33</v>
      </c>
      <c r="D1557" s="11">
        <v>0.35</v>
      </c>
      <c r="E1557" s="44">
        <f>VLOOKUP(B1557,'Costo de Materiales'!B$4:D$350,3,FALSE)</f>
        <v>0.87720053729330372</v>
      </c>
      <c r="F1557" s="206">
        <f t="shared" si="143"/>
        <v>0.3070201880526563</v>
      </c>
      <c r="G1557" s="302"/>
      <c r="H1557" s="83"/>
      <c r="I1557" s="53"/>
      <c r="J1557" s="53"/>
      <c r="K1557" s="66"/>
    </row>
    <row r="1558" spans="1:11" s="41" customFormat="1" ht="12" customHeight="1" x14ac:dyDescent="0.2">
      <c r="A1558" s="205"/>
      <c r="B1558" s="10" t="s">
        <v>10</v>
      </c>
      <c r="C1558" s="11" t="s">
        <v>33</v>
      </c>
      <c r="D1558" s="11">
        <v>0.35</v>
      </c>
      <c r="E1558" s="44">
        <f>VLOOKUP(B1558,'Costo de Materiales'!B$4:D$350,3,FALSE)</f>
        <v>0.35088021491732146</v>
      </c>
      <c r="F1558" s="206">
        <f t="shared" si="143"/>
        <v>0.1228080752210625</v>
      </c>
      <c r="G1558" s="302"/>
      <c r="H1558" s="83"/>
      <c r="I1558" s="53"/>
      <c r="J1558" s="53"/>
      <c r="K1558" s="66"/>
    </row>
    <row r="1559" spans="1:11" s="41" customFormat="1" ht="12" customHeight="1" x14ac:dyDescent="0.2">
      <c r="A1559" s="207"/>
      <c r="B1559" s="26" t="s">
        <v>109</v>
      </c>
      <c r="C1559" s="23" t="s">
        <v>11</v>
      </c>
      <c r="D1559" s="80">
        <f>VLOOKUP(B1559,'Costo de Materiales'!B$4:D$350,3,FALSE)</f>
        <v>0.28999999999999998</v>
      </c>
      <c r="E1559" s="44">
        <f>SUM(F1556:F1558)</f>
        <v>0.76141006637058761</v>
      </c>
      <c r="F1559" s="206">
        <f t="shared" si="143"/>
        <v>0.2208089192474704</v>
      </c>
      <c r="G1559" s="307"/>
      <c r="H1559" s="83"/>
      <c r="I1559" s="53"/>
      <c r="J1559" s="53"/>
      <c r="K1559" s="66"/>
    </row>
    <row r="1560" spans="1:11" s="41" customFormat="1" ht="12" customHeight="1" x14ac:dyDescent="0.2">
      <c r="A1560" s="209">
        <v>22</v>
      </c>
      <c r="B1560" s="88" t="s">
        <v>592</v>
      </c>
      <c r="C1560" s="91" t="s">
        <v>17</v>
      </c>
      <c r="D1560" s="91"/>
      <c r="E1560" s="92"/>
      <c r="F1560" s="210">
        <f>SUM(F1561:F1569)</f>
        <v>11.606205490995404</v>
      </c>
      <c r="G1560" s="302"/>
      <c r="H1560" s="83"/>
      <c r="I1560" s="53"/>
      <c r="J1560" s="53"/>
      <c r="K1560" s="66"/>
    </row>
    <row r="1561" spans="1:11" s="41" customFormat="1" ht="12" customHeight="1" x14ac:dyDescent="0.2">
      <c r="A1561" s="205"/>
      <c r="B1561" s="12" t="s">
        <v>560</v>
      </c>
      <c r="C1561" s="11" t="s">
        <v>17</v>
      </c>
      <c r="D1561" s="11">
        <v>1</v>
      </c>
      <c r="E1561" s="44">
        <f>VLOOKUP(B1561,'Costo de Materiales'!B$4:D$350,3,FALSE)</f>
        <v>9.9434306909470465</v>
      </c>
      <c r="F1561" s="206">
        <f>D1561*E1561</f>
        <v>9.9434306909470465</v>
      </c>
      <c r="G1561" s="302"/>
      <c r="H1561" s="83"/>
      <c r="I1561" s="53"/>
      <c r="J1561" s="53"/>
      <c r="K1561" s="66"/>
    </row>
    <row r="1562" spans="1:11" s="41" customFormat="1" ht="12" customHeight="1" x14ac:dyDescent="0.2">
      <c r="A1562" s="205"/>
      <c r="B1562" s="10" t="s">
        <v>556</v>
      </c>
      <c r="C1562" s="11" t="s">
        <v>17</v>
      </c>
      <c r="D1562" s="11">
        <v>1</v>
      </c>
      <c r="E1562" s="44">
        <f>VLOOKUP(B1562,'Costo de Materiales'!B$4:D$350,3,FALSE)</f>
        <v>0.22949246053195652</v>
      </c>
      <c r="F1562" s="206">
        <f t="shared" ref="F1562:F1569" si="144">D1562*E1562</f>
        <v>0.22949246053195652</v>
      </c>
      <c r="G1562" s="302"/>
      <c r="H1562" s="83"/>
      <c r="I1562" s="53"/>
      <c r="J1562" s="53"/>
      <c r="K1562" s="66"/>
    </row>
    <row r="1563" spans="1:11" s="41" customFormat="1" ht="12" customHeight="1" x14ac:dyDescent="0.2">
      <c r="A1563" s="205"/>
      <c r="B1563" s="10" t="s">
        <v>557</v>
      </c>
      <c r="C1563" s="11" t="s">
        <v>17</v>
      </c>
      <c r="D1563" s="11">
        <v>1</v>
      </c>
      <c r="E1563" s="44">
        <f>VLOOKUP(B1563,'Costo de Materiales'!B$4:D$350,3,FALSE)</f>
        <v>0.23718104042795099</v>
      </c>
      <c r="F1563" s="206">
        <f t="shared" si="144"/>
        <v>0.23718104042795099</v>
      </c>
      <c r="G1563" s="302"/>
      <c r="H1563" s="83"/>
      <c r="I1563" s="53"/>
      <c r="J1563" s="53"/>
      <c r="K1563" s="66"/>
    </row>
    <row r="1564" spans="1:11" s="41" customFormat="1" ht="12" customHeight="1" x14ac:dyDescent="0.2">
      <c r="A1564" s="205"/>
      <c r="B1564" s="10" t="s">
        <v>558</v>
      </c>
      <c r="C1564" s="11" t="s">
        <v>17</v>
      </c>
      <c r="D1564" s="11">
        <v>1</v>
      </c>
      <c r="E1564" s="44">
        <f>VLOOKUP(B1564,'Costo de Materiales'!B$4:D$350,3,FALSE)</f>
        <v>9.7388678682596777E-2</v>
      </c>
      <c r="F1564" s="206">
        <f t="shared" si="144"/>
        <v>9.7388678682596777E-2</v>
      </c>
      <c r="G1564" s="302"/>
      <c r="H1564" s="83"/>
      <c r="I1564" s="53"/>
      <c r="J1564" s="53"/>
      <c r="K1564" s="66"/>
    </row>
    <row r="1565" spans="1:11" s="41" customFormat="1" ht="12" customHeight="1" x14ac:dyDescent="0.2">
      <c r="A1565" s="205"/>
      <c r="B1565" s="10" t="s">
        <v>559</v>
      </c>
      <c r="C1565" s="11" t="s">
        <v>17</v>
      </c>
      <c r="D1565" s="11">
        <v>2</v>
      </c>
      <c r="E1565" s="44">
        <f>VLOOKUP(B1565,'Costo de Materiales'!B$4:D$350,3,FALSE)</f>
        <v>5.8246817393897594E-2</v>
      </c>
      <c r="F1565" s="206">
        <f t="shared" si="144"/>
        <v>0.11649363478779519</v>
      </c>
      <c r="G1565" s="302"/>
      <c r="H1565" s="83"/>
      <c r="I1565" s="53"/>
      <c r="J1565" s="53"/>
      <c r="K1565" s="66"/>
    </row>
    <row r="1566" spans="1:11" s="41" customFormat="1" ht="12" customHeight="1" x14ac:dyDescent="0.2">
      <c r="A1566" s="205"/>
      <c r="B1566" s="12" t="s">
        <v>355</v>
      </c>
      <c r="C1566" s="11" t="s">
        <v>33</v>
      </c>
      <c r="D1566" s="11">
        <v>0.35</v>
      </c>
      <c r="E1566" s="44">
        <f>VLOOKUP(B1566,'Costo de Materiales'!B$4:D$350,3,FALSE)</f>
        <v>0.94737658027676797</v>
      </c>
      <c r="F1566" s="206">
        <f t="shared" si="144"/>
        <v>0.33158180309686874</v>
      </c>
      <c r="G1566" s="302"/>
      <c r="H1566" s="83"/>
      <c r="I1566" s="53"/>
      <c r="J1566" s="53"/>
      <c r="K1566" s="66"/>
    </row>
    <row r="1567" spans="1:11" s="41" customFormat="1" ht="12" customHeight="1" x14ac:dyDescent="0.2">
      <c r="A1567" s="205"/>
      <c r="B1567" s="12" t="s">
        <v>266</v>
      </c>
      <c r="C1567" s="11" t="s">
        <v>33</v>
      </c>
      <c r="D1567" s="11">
        <v>0.35</v>
      </c>
      <c r="E1567" s="44">
        <f>VLOOKUP(B1567,'Costo de Materiales'!B$4:D$350,3,FALSE)</f>
        <v>0.87720053729330372</v>
      </c>
      <c r="F1567" s="206">
        <f t="shared" si="144"/>
        <v>0.3070201880526563</v>
      </c>
      <c r="G1567" s="302"/>
      <c r="H1567" s="83"/>
      <c r="I1567" s="53"/>
      <c r="J1567" s="53"/>
      <c r="K1567" s="66"/>
    </row>
    <row r="1568" spans="1:11" s="41" customFormat="1" ht="12" customHeight="1" x14ac:dyDescent="0.2">
      <c r="A1568" s="205"/>
      <c r="B1568" s="10" t="s">
        <v>10</v>
      </c>
      <c r="C1568" s="11" t="s">
        <v>33</v>
      </c>
      <c r="D1568" s="11">
        <v>0.35</v>
      </c>
      <c r="E1568" s="44">
        <f>VLOOKUP(B1568,'Costo de Materiales'!B$4:D$350,3,FALSE)</f>
        <v>0.35088021491732146</v>
      </c>
      <c r="F1568" s="206">
        <f t="shared" si="144"/>
        <v>0.1228080752210625</v>
      </c>
      <c r="G1568" s="302"/>
      <c r="H1568" s="83"/>
      <c r="I1568" s="53"/>
      <c r="J1568" s="53"/>
      <c r="K1568" s="66"/>
    </row>
    <row r="1569" spans="1:11" s="41" customFormat="1" ht="12" customHeight="1" x14ac:dyDescent="0.2">
      <c r="A1569" s="207"/>
      <c r="B1569" s="26" t="s">
        <v>109</v>
      </c>
      <c r="C1569" s="23" t="s">
        <v>11</v>
      </c>
      <c r="D1569" s="80">
        <f>VLOOKUP(B1569,'Costo de Materiales'!B$4:D$350,3,FALSE)</f>
        <v>0.28999999999999998</v>
      </c>
      <c r="E1569" s="44">
        <f>SUM(F1566:F1568)</f>
        <v>0.76141006637058761</v>
      </c>
      <c r="F1569" s="206">
        <f t="shared" si="144"/>
        <v>0.2208089192474704</v>
      </c>
      <c r="G1569" s="302"/>
      <c r="H1569" s="83"/>
      <c r="I1569" s="53"/>
      <c r="J1569" s="53"/>
      <c r="K1569" s="66"/>
    </row>
    <row r="1570" spans="1:11" s="1" customFormat="1" ht="12" customHeight="1" x14ac:dyDescent="0.2">
      <c r="A1570" s="209">
        <v>23</v>
      </c>
      <c r="B1570" s="93" t="s">
        <v>264</v>
      </c>
      <c r="C1570" s="95" t="s">
        <v>17</v>
      </c>
      <c r="D1570" s="95"/>
      <c r="E1570" s="94"/>
      <c r="F1570" s="210">
        <f>SUM(F1571:F1584)</f>
        <v>3.3482156846249724</v>
      </c>
      <c r="G1570" s="303"/>
      <c r="H1570" s="83"/>
      <c r="I1570" s="53"/>
      <c r="J1570" s="53"/>
      <c r="K1570" s="62"/>
    </row>
    <row r="1571" spans="1:11" s="3" customFormat="1" ht="12" customHeight="1" x14ac:dyDescent="0.2">
      <c r="A1571" s="205"/>
      <c r="B1571" s="12" t="s">
        <v>60</v>
      </c>
      <c r="C1571" s="20" t="s">
        <v>17</v>
      </c>
      <c r="D1571" s="20">
        <v>1</v>
      </c>
      <c r="E1571" s="44">
        <f>VLOOKUP(B1571,'Costo de Materiales'!B$4:D$350,3,FALSE)</f>
        <v>2.13059251228001</v>
      </c>
      <c r="F1571" s="206">
        <f>D1571*E1571</f>
        <v>2.13059251228001</v>
      </c>
      <c r="G1571" s="302"/>
      <c r="H1571" s="83"/>
      <c r="I1571" s="53"/>
      <c r="J1571" s="53"/>
      <c r="K1571" s="58"/>
    </row>
    <row r="1572" spans="1:11" s="3" customFormat="1" ht="12" customHeight="1" x14ac:dyDescent="0.2">
      <c r="A1572" s="205"/>
      <c r="B1572" s="15" t="s">
        <v>53</v>
      </c>
      <c r="C1572" s="20" t="s">
        <v>17</v>
      </c>
      <c r="D1572" s="20">
        <v>1</v>
      </c>
      <c r="E1572" s="44">
        <f>VLOOKUP(B1572,'Costo de Materiales'!B$4:D$350,3,FALSE)</f>
        <v>5.4306687808794524E-2</v>
      </c>
      <c r="F1572" s="206">
        <f t="shared" ref="F1572:F1584" si="145">D1572*E1572</f>
        <v>5.4306687808794524E-2</v>
      </c>
      <c r="G1572" s="302"/>
      <c r="H1572" s="83"/>
      <c r="I1572" s="53"/>
      <c r="J1572" s="53"/>
      <c r="K1572" s="58"/>
    </row>
    <row r="1573" spans="1:11" s="3" customFormat="1" ht="12" customHeight="1" x14ac:dyDescent="0.2">
      <c r="A1573" s="205"/>
      <c r="B1573" s="12" t="s">
        <v>105</v>
      </c>
      <c r="C1573" s="20" t="s">
        <v>568</v>
      </c>
      <c r="D1573" s="20">
        <v>0.5</v>
      </c>
      <c r="E1573" s="44">
        <f>VLOOKUP(B1573,'Costo de Materiales'!B$4:D$350,3,FALSE)</f>
        <v>1.1556168570949283E-2</v>
      </c>
      <c r="F1573" s="206">
        <f t="shared" si="145"/>
        <v>5.7780842854746415E-3</v>
      </c>
      <c r="G1573" s="302"/>
      <c r="H1573" s="83"/>
      <c r="I1573" s="53"/>
      <c r="J1573" s="53"/>
      <c r="K1573" s="58"/>
    </row>
    <row r="1574" spans="1:11" s="3" customFormat="1" ht="12" customHeight="1" x14ac:dyDescent="0.2">
      <c r="A1574" s="205"/>
      <c r="B1574" s="15" t="s">
        <v>100</v>
      </c>
      <c r="C1574" s="20" t="s">
        <v>17</v>
      </c>
      <c r="D1574" s="20">
        <v>1</v>
      </c>
      <c r="E1574" s="44">
        <f>VLOOKUP(B1574,'Costo de Materiales'!B$4:D$350,3,FALSE)</f>
        <v>1.6728485955527388E-2</v>
      </c>
      <c r="F1574" s="206">
        <f t="shared" si="145"/>
        <v>1.6728485955527388E-2</v>
      </c>
      <c r="G1574" s="302"/>
      <c r="H1574" s="83"/>
      <c r="I1574" s="53"/>
      <c r="J1574" s="53"/>
      <c r="K1574" s="58"/>
    </row>
    <row r="1575" spans="1:11" s="3" customFormat="1" ht="12" customHeight="1" x14ac:dyDescent="0.2">
      <c r="A1575" s="205"/>
      <c r="B1575" s="15" t="s">
        <v>325</v>
      </c>
      <c r="C1575" s="20" t="s">
        <v>17</v>
      </c>
      <c r="D1575" s="20">
        <v>1</v>
      </c>
      <c r="E1575" s="44">
        <f>VLOOKUP(B1575,'Costo de Materiales'!B$4:D$350,3,FALSE)</f>
        <v>0.19263323798960949</v>
      </c>
      <c r="F1575" s="206">
        <f t="shared" si="145"/>
        <v>0.19263323798960949</v>
      </c>
      <c r="G1575" s="302"/>
      <c r="H1575" s="83"/>
      <c r="I1575" s="53"/>
      <c r="J1575" s="53"/>
      <c r="K1575" s="58"/>
    </row>
    <row r="1576" spans="1:11" s="3" customFormat="1" ht="12" customHeight="1" x14ac:dyDescent="0.2">
      <c r="A1576" s="205"/>
      <c r="B1576" s="15" t="s">
        <v>227</v>
      </c>
      <c r="C1576" s="20" t="s">
        <v>17</v>
      </c>
      <c r="D1576" s="20">
        <v>0.8</v>
      </c>
      <c r="E1576" s="44">
        <f>VLOOKUP(B1576,'Costo de Materiales'!B$4:D$350,3,FALSE)</f>
        <v>0.10014440315753916</v>
      </c>
      <c r="F1576" s="206">
        <f t="shared" si="145"/>
        <v>8.0115522526031324E-2</v>
      </c>
      <c r="G1576" s="302"/>
      <c r="H1576" s="83"/>
      <c r="I1576" s="53"/>
      <c r="J1576" s="53"/>
      <c r="K1576" s="58"/>
    </row>
    <row r="1577" spans="1:11" s="3" customFormat="1" ht="12" customHeight="1" x14ac:dyDescent="0.2">
      <c r="A1577" s="205"/>
      <c r="B1577" s="15" t="s">
        <v>221</v>
      </c>
      <c r="C1577" s="11" t="s">
        <v>6</v>
      </c>
      <c r="D1577" s="20">
        <v>1.2E-2</v>
      </c>
      <c r="E1577" s="44">
        <f>F325</f>
        <v>0.17504666396685931</v>
      </c>
      <c r="F1577" s="206">
        <f t="shared" si="145"/>
        <v>2.1005599676023117E-3</v>
      </c>
      <c r="G1577" s="302"/>
      <c r="H1577" s="83"/>
      <c r="I1577" s="53"/>
      <c r="J1577" s="53"/>
      <c r="K1577" s="58"/>
    </row>
    <row r="1578" spans="1:11" s="3" customFormat="1" ht="12" customHeight="1" x14ac:dyDescent="0.2">
      <c r="A1578" s="205"/>
      <c r="B1578" s="12" t="s">
        <v>285</v>
      </c>
      <c r="C1578" s="20" t="s">
        <v>17</v>
      </c>
      <c r="D1578" s="20">
        <v>2</v>
      </c>
      <c r="E1578" s="44">
        <f>VLOOKUP(B1578,'Costo de Materiales'!B$4:D$350,3,FALSE)</f>
        <v>3.1770608550695655E-2</v>
      </c>
      <c r="F1578" s="206">
        <f t="shared" si="145"/>
        <v>6.3541217101391309E-2</v>
      </c>
      <c r="G1578" s="302"/>
      <c r="H1578" s="83"/>
      <c r="I1578" s="53"/>
      <c r="J1578" s="53"/>
      <c r="K1578" s="58"/>
    </row>
    <row r="1579" spans="1:11" s="3" customFormat="1" ht="12" customHeight="1" x14ac:dyDescent="0.2">
      <c r="A1579" s="205"/>
      <c r="B1579" s="15" t="s">
        <v>265</v>
      </c>
      <c r="C1579" s="20" t="s">
        <v>17</v>
      </c>
      <c r="D1579" s="20">
        <v>1</v>
      </c>
      <c r="E1579" s="44">
        <f>VLOOKUP(B1579,'Costo de Materiales'!B$4:D$350,3,FALSE)</f>
        <v>2.5741848494388948E-2</v>
      </c>
      <c r="F1579" s="206">
        <f t="shared" si="145"/>
        <v>2.5741848494388948E-2</v>
      </c>
      <c r="G1579" s="302"/>
      <c r="H1579" s="83"/>
      <c r="I1579" s="53"/>
      <c r="J1579" s="53"/>
      <c r="K1579" s="58"/>
    </row>
    <row r="1580" spans="1:11" s="3" customFormat="1" ht="12" customHeight="1" x14ac:dyDescent="0.2">
      <c r="A1580" s="205"/>
      <c r="B1580" s="10" t="s">
        <v>502</v>
      </c>
      <c r="C1580" s="11" t="s">
        <v>17</v>
      </c>
      <c r="D1580" s="20">
        <v>1</v>
      </c>
      <c r="E1580" s="44">
        <f>VLOOKUP(B1580,'Costo de Materiales'!B$4:D$350,3,FALSE)</f>
        <v>6.3923995517664742E-2</v>
      </c>
      <c r="F1580" s="206">
        <f t="shared" si="145"/>
        <v>6.3923995517664742E-2</v>
      </c>
      <c r="G1580" s="302"/>
      <c r="H1580" s="83"/>
      <c r="I1580" s="53"/>
      <c r="J1580" s="53"/>
      <c r="K1580" s="58"/>
    </row>
    <row r="1581" spans="1:11" s="3" customFormat="1" ht="12" customHeight="1" x14ac:dyDescent="0.2">
      <c r="A1581" s="205"/>
      <c r="B1581" s="15" t="s">
        <v>111</v>
      </c>
      <c r="C1581" s="20" t="s">
        <v>11</v>
      </c>
      <c r="D1581" s="20">
        <v>0.03</v>
      </c>
      <c r="E1581" s="44">
        <f>SUM(F1571:F1580)</f>
        <v>2.6354621519264949</v>
      </c>
      <c r="F1581" s="206">
        <f t="shared" si="145"/>
        <v>7.906386455779485E-2</v>
      </c>
      <c r="G1581" s="302"/>
      <c r="H1581" s="83"/>
      <c r="I1581" s="53"/>
      <c r="J1581" s="53"/>
      <c r="K1581" s="58"/>
    </row>
    <row r="1582" spans="1:11" s="3" customFormat="1" ht="12" customHeight="1" x14ac:dyDescent="0.2">
      <c r="A1582" s="205"/>
      <c r="B1582" s="15" t="s">
        <v>266</v>
      </c>
      <c r="C1582" s="20" t="s">
        <v>33</v>
      </c>
      <c r="D1582" s="20">
        <v>0.4</v>
      </c>
      <c r="E1582" s="44">
        <f>VLOOKUP(B1582,'Costo de Materiales'!B$4:D$350,3,FALSE)</f>
        <v>0.87720053729330372</v>
      </c>
      <c r="F1582" s="206">
        <f t="shared" si="145"/>
        <v>0.35088021491732152</v>
      </c>
      <c r="G1582" s="302"/>
      <c r="H1582" s="83"/>
      <c r="I1582" s="53"/>
      <c r="J1582" s="53"/>
      <c r="K1582" s="58"/>
    </row>
    <row r="1583" spans="1:11" s="3" customFormat="1" ht="12" customHeight="1" x14ac:dyDescent="0.2">
      <c r="A1583" s="205"/>
      <c r="B1583" s="15" t="s">
        <v>10</v>
      </c>
      <c r="C1583" s="20" t="s">
        <v>33</v>
      </c>
      <c r="D1583" s="20">
        <v>0.4</v>
      </c>
      <c r="E1583" s="44">
        <f>VLOOKUP(B1583,'Costo de Materiales'!B$4:D$350,3,FALSE)</f>
        <v>0.35088021491732146</v>
      </c>
      <c r="F1583" s="206">
        <f t="shared" si="145"/>
        <v>0.14035208596692858</v>
      </c>
      <c r="G1583" s="302"/>
      <c r="H1583" s="83"/>
      <c r="I1583" s="53"/>
      <c r="J1583" s="53"/>
      <c r="K1583" s="58"/>
    </row>
    <row r="1584" spans="1:11" s="3" customFormat="1" ht="12" customHeight="1" x14ac:dyDescent="0.2">
      <c r="A1584" s="207"/>
      <c r="B1584" s="27" t="s">
        <v>93</v>
      </c>
      <c r="C1584" s="28" t="s">
        <v>11</v>
      </c>
      <c r="D1584" s="80">
        <f>VLOOKUP(B1584,'Costo de Materiales'!B$4:D$350,3,FALSE)</f>
        <v>0.28999999999999998</v>
      </c>
      <c r="E1584" s="45">
        <f>SUM(F1582:F1583)</f>
        <v>0.49123230088425007</v>
      </c>
      <c r="F1584" s="208">
        <f t="shared" si="145"/>
        <v>0.14245736725643252</v>
      </c>
      <c r="G1584" s="307"/>
      <c r="H1584" s="83"/>
      <c r="I1584" s="53"/>
      <c r="J1584" s="53"/>
      <c r="K1584" s="58"/>
    </row>
    <row r="1585" spans="1:11" s="36" customFormat="1" ht="12" customHeight="1" x14ac:dyDescent="0.2">
      <c r="A1585" s="209">
        <v>24</v>
      </c>
      <c r="B1585" s="96" t="s">
        <v>377</v>
      </c>
      <c r="C1585" s="91" t="s">
        <v>568</v>
      </c>
      <c r="D1585" s="89"/>
      <c r="E1585" s="94"/>
      <c r="F1585" s="210">
        <f>SUM(F1586:F1592)</f>
        <v>0.1174882430312824</v>
      </c>
      <c r="G1585" s="302"/>
      <c r="H1585" s="83"/>
      <c r="I1585" s="53"/>
      <c r="J1585" s="53"/>
      <c r="K1585" s="77"/>
    </row>
    <row r="1586" spans="1:11" s="36" customFormat="1" ht="12" customHeight="1" x14ac:dyDescent="0.2">
      <c r="A1586" s="216"/>
      <c r="B1586" s="12" t="s">
        <v>108</v>
      </c>
      <c r="C1586" s="21" t="s">
        <v>568</v>
      </c>
      <c r="D1586" s="21">
        <v>1.05</v>
      </c>
      <c r="E1586" s="46">
        <f>VLOOKUP(B1586,'Costo de Materiales'!B$4:D$350,3,FALSE)</f>
        <v>4.6411064099457604E-2</v>
      </c>
      <c r="F1586" s="217">
        <f>D1586*E1586</f>
        <v>4.8731617304430486E-2</v>
      </c>
      <c r="G1586" s="302"/>
      <c r="H1586" s="83"/>
      <c r="I1586" s="53"/>
      <c r="J1586" s="53"/>
      <c r="K1586" s="77"/>
    </row>
    <row r="1587" spans="1:11" s="36" customFormat="1" ht="12" customHeight="1" x14ac:dyDescent="0.2">
      <c r="A1587" s="216"/>
      <c r="B1587" s="12" t="s">
        <v>25</v>
      </c>
      <c r="C1587" s="21" t="s">
        <v>17</v>
      </c>
      <c r="D1587" s="21">
        <v>5.0000000000000001E-3</v>
      </c>
      <c r="E1587" s="46">
        <f>VLOOKUP(B1587,'Costo de Materiales'!B$4:D$350,3,FALSE)</f>
        <v>0.36148636686823138</v>
      </c>
      <c r="F1587" s="217">
        <f t="shared" ref="F1587:F1592" si="146">D1587*E1587</f>
        <v>1.8074318343411569E-3</v>
      </c>
      <c r="G1587" s="302"/>
      <c r="H1587" s="83"/>
      <c r="I1587" s="53"/>
      <c r="J1587" s="53"/>
      <c r="K1587" s="77"/>
    </row>
    <row r="1588" spans="1:11" s="36" customFormat="1" ht="12" customHeight="1" x14ac:dyDescent="0.2">
      <c r="A1588" s="216"/>
      <c r="B1588" s="37" t="s">
        <v>3</v>
      </c>
      <c r="C1588" s="21" t="s">
        <v>17</v>
      </c>
      <c r="D1588" s="21">
        <v>5.0000000000000001E-3</v>
      </c>
      <c r="E1588" s="46">
        <f>VLOOKUP(B1588,'Costo de Materiales'!B$4:D$350,3,FALSE)</f>
        <v>0.20062373742931758</v>
      </c>
      <c r="F1588" s="217">
        <f t="shared" si="146"/>
        <v>1.003118687146588E-3</v>
      </c>
      <c r="G1588" s="302"/>
      <c r="H1588" s="83"/>
      <c r="I1588" s="53"/>
      <c r="J1588" s="53"/>
      <c r="K1588" s="77"/>
    </row>
    <row r="1589" spans="1:11" s="36" customFormat="1" ht="12" customHeight="1" x14ac:dyDescent="0.2">
      <c r="A1589" s="216"/>
      <c r="B1589" s="37" t="s">
        <v>345</v>
      </c>
      <c r="C1589" s="21" t="s">
        <v>11</v>
      </c>
      <c r="D1589" s="21">
        <v>0.05</v>
      </c>
      <c r="E1589" s="46">
        <f>SUM(F1586:F1588)</f>
        <v>5.1542167825918229E-2</v>
      </c>
      <c r="F1589" s="217">
        <f t="shared" si="146"/>
        <v>2.5771083912959117E-3</v>
      </c>
      <c r="G1589" s="302"/>
      <c r="H1589" s="83"/>
      <c r="I1589" s="53"/>
      <c r="J1589" s="53"/>
      <c r="K1589" s="77"/>
    </row>
    <row r="1590" spans="1:11" s="36" customFormat="1" ht="12" customHeight="1" x14ac:dyDescent="0.2">
      <c r="A1590" s="216"/>
      <c r="B1590" s="12" t="s">
        <v>266</v>
      </c>
      <c r="C1590" s="21" t="s">
        <v>33</v>
      </c>
      <c r="D1590" s="21">
        <v>0.04</v>
      </c>
      <c r="E1590" s="46">
        <f>VLOOKUP(B1590,'Costo de Materiales'!B$4:D$350,3,FALSE)</f>
        <v>0.87720053729330372</v>
      </c>
      <c r="F1590" s="217">
        <f t="shared" si="146"/>
        <v>3.5088021491732152E-2</v>
      </c>
      <c r="G1590" s="302"/>
      <c r="H1590" s="83"/>
      <c r="I1590" s="53"/>
      <c r="J1590" s="53"/>
      <c r="K1590" s="77"/>
    </row>
    <row r="1591" spans="1:11" s="36" customFormat="1" ht="12" customHeight="1" x14ac:dyDescent="0.2">
      <c r="A1591" s="216"/>
      <c r="B1591" s="37" t="s">
        <v>10</v>
      </c>
      <c r="C1591" s="21" t="s">
        <v>33</v>
      </c>
      <c r="D1591" s="21">
        <v>0.04</v>
      </c>
      <c r="E1591" s="46">
        <f>VLOOKUP(B1591,'Costo de Materiales'!B$4:D$350,3,FALSE)</f>
        <v>0.35088021491732146</v>
      </c>
      <c r="F1591" s="217">
        <f t="shared" si="146"/>
        <v>1.4035208596692859E-2</v>
      </c>
      <c r="G1591" s="302"/>
      <c r="H1591" s="83"/>
      <c r="I1591" s="53"/>
      <c r="J1591" s="53"/>
      <c r="K1591" s="77"/>
    </row>
    <row r="1592" spans="1:11" s="36" customFormat="1" ht="12" customHeight="1" x14ac:dyDescent="0.2">
      <c r="A1592" s="218"/>
      <c r="B1592" s="22" t="s">
        <v>109</v>
      </c>
      <c r="C1592" s="32" t="s">
        <v>11</v>
      </c>
      <c r="D1592" s="80">
        <f>VLOOKUP(B1592,'Costo de Materiales'!B$4:D$350,3,FALSE)</f>
        <v>0.28999999999999998</v>
      </c>
      <c r="E1592" s="47">
        <f>SUM(F1590:F1591)</f>
        <v>4.9123230088425007E-2</v>
      </c>
      <c r="F1592" s="219">
        <f t="shared" si="146"/>
        <v>1.4245736725643251E-2</v>
      </c>
      <c r="G1592" s="302"/>
      <c r="H1592" s="83"/>
      <c r="I1592" s="53"/>
      <c r="J1592" s="53"/>
      <c r="K1592" s="77"/>
    </row>
    <row r="1593" spans="1:11" s="39" customFormat="1" ht="12" customHeight="1" x14ac:dyDescent="0.2">
      <c r="A1593" s="209">
        <v>25</v>
      </c>
      <c r="B1593" s="96" t="s">
        <v>378</v>
      </c>
      <c r="C1593" s="91" t="s">
        <v>568</v>
      </c>
      <c r="D1593" s="89"/>
      <c r="E1593" s="94"/>
      <c r="F1593" s="210">
        <f>SUM(F1594:F1599)</f>
        <v>9.2505120557913906E-2</v>
      </c>
      <c r="G1593" s="303"/>
      <c r="H1593" s="83"/>
      <c r="I1593" s="53"/>
      <c r="J1593" s="53"/>
      <c r="K1593" s="68"/>
    </row>
    <row r="1594" spans="1:11" s="39" customFormat="1" ht="12" customHeight="1" x14ac:dyDescent="0.2">
      <c r="A1594" s="216"/>
      <c r="B1594" s="37" t="s">
        <v>354</v>
      </c>
      <c r="C1594" s="21" t="s">
        <v>568</v>
      </c>
      <c r="D1594" s="21">
        <v>1.05</v>
      </c>
      <c r="E1594" s="46">
        <f>VLOOKUP(B1594,'Costo de Materiales'!B$4:D$350,3,FALSE)</f>
        <v>1.5215442046869303E-2</v>
      </c>
      <c r="F1594" s="217">
        <f t="shared" ref="F1594:F1599" si="147">D1594*E1594</f>
        <v>1.597621414921277E-2</v>
      </c>
      <c r="G1594" s="302"/>
      <c r="H1594" s="83"/>
      <c r="I1594" s="53"/>
      <c r="J1594" s="53"/>
      <c r="K1594" s="68"/>
    </row>
    <row r="1595" spans="1:11" s="39" customFormat="1" ht="12" customHeight="1" x14ac:dyDescent="0.2">
      <c r="A1595" s="216"/>
      <c r="B1595" s="10" t="s">
        <v>162</v>
      </c>
      <c r="C1595" s="21" t="s">
        <v>17</v>
      </c>
      <c r="D1595" s="21">
        <v>0.03</v>
      </c>
      <c r="E1595" s="46">
        <f>VLOOKUP(B1595,'Costo de Materiales'!B$4:D$350,3,FALSE)</f>
        <v>7.4462731356358683E-2</v>
      </c>
      <c r="F1595" s="217">
        <f t="shared" si="147"/>
        <v>2.2338819406907606E-3</v>
      </c>
      <c r="G1595" s="302"/>
      <c r="H1595" s="83"/>
      <c r="I1595" s="53"/>
      <c r="J1595" s="53"/>
      <c r="K1595" s="68"/>
    </row>
    <row r="1596" spans="1:11" s="39" customFormat="1" ht="12" customHeight="1" x14ac:dyDescent="0.2">
      <c r="A1596" s="216"/>
      <c r="B1596" s="37" t="s">
        <v>345</v>
      </c>
      <c r="C1596" s="21" t="s">
        <v>11</v>
      </c>
      <c r="D1596" s="21">
        <v>0.6</v>
      </c>
      <c r="E1596" s="46">
        <f>SUM(F1594:F1595)</f>
        <v>1.8210096089903531E-2</v>
      </c>
      <c r="F1596" s="217">
        <f t="shared" si="147"/>
        <v>1.0926057653942119E-2</v>
      </c>
      <c r="G1596" s="302"/>
      <c r="H1596" s="83"/>
      <c r="I1596" s="53"/>
      <c r="J1596" s="53"/>
      <c r="K1596" s="68"/>
    </row>
    <row r="1597" spans="1:11" s="39" customFormat="1" ht="12" customHeight="1" x14ac:dyDescent="0.2">
      <c r="A1597" s="216"/>
      <c r="B1597" s="37" t="s">
        <v>266</v>
      </c>
      <c r="C1597" s="21" t="s">
        <v>33</v>
      </c>
      <c r="D1597" s="21">
        <v>0.04</v>
      </c>
      <c r="E1597" s="46">
        <f>VLOOKUP(B1597,'Costo de Materiales'!B$4:D$350,3,FALSE)</f>
        <v>0.87720053729330372</v>
      </c>
      <c r="F1597" s="217">
        <f t="shared" si="147"/>
        <v>3.5088021491732152E-2</v>
      </c>
      <c r="G1597" s="302"/>
      <c r="H1597" s="83"/>
      <c r="I1597" s="53"/>
      <c r="J1597" s="53"/>
      <c r="K1597" s="68"/>
    </row>
    <row r="1598" spans="1:11" s="39" customFormat="1" ht="12" customHeight="1" x14ac:dyDescent="0.2">
      <c r="A1598" s="216"/>
      <c r="B1598" s="37" t="s">
        <v>10</v>
      </c>
      <c r="C1598" s="21" t="s">
        <v>33</v>
      </c>
      <c r="D1598" s="21">
        <v>0.04</v>
      </c>
      <c r="E1598" s="46">
        <f>VLOOKUP(B1598,'Costo de Materiales'!B$4:D$350,3,FALSE)</f>
        <v>0.35088021491732146</v>
      </c>
      <c r="F1598" s="217">
        <f t="shared" si="147"/>
        <v>1.4035208596692859E-2</v>
      </c>
      <c r="G1598" s="302"/>
      <c r="H1598" s="83"/>
      <c r="I1598" s="53"/>
      <c r="J1598" s="53"/>
      <c r="K1598" s="68"/>
    </row>
    <row r="1599" spans="1:11" s="39" customFormat="1" ht="12" customHeight="1" x14ac:dyDescent="0.2">
      <c r="A1599" s="218"/>
      <c r="B1599" s="22" t="s">
        <v>109</v>
      </c>
      <c r="C1599" s="32" t="s">
        <v>11</v>
      </c>
      <c r="D1599" s="80">
        <f>VLOOKUP(B1599,'Costo de Materiales'!B$4:D$350,3,FALSE)</f>
        <v>0.28999999999999998</v>
      </c>
      <c r="E1599" s="47">
        <f>SUM(F1597:F1598)</f>
        <v>4.9123230088425007E-2</v>
      </c>
      <c r="F1599" s="219">
        <f t="shared" si="147"/>
        <v>1.4245736725643251E-2</v>
      </c>
      <c r="G1599" s="307"/>
      <c r="H1599" s="83"/>
      <c r="I1599" s="53"/>
      <c r="J1599" s="53"/>
      <c r="K1599" s="68"/>
    </row>
    <row r="1600" spans="1:11" s="3" customFormat="1" ht="12" customHeight="1" x14ac:dyDescent="0.2">
      <c r="A1600" s="209">
        <v>26</v>
      </c>
      <c r="B1600" s="93" t="s">
        <v>260</v>
      </c>
      <c r="C1600" s="95" t="s">
        <v>17</v>
      </c>
      <c r="D1600" s="95"/>
      <c r="E1600" s="94"/>
      <c r="F1600" s="210">
        <f>SUM(F1601:F1608)</f>
        <v>2.3893419553661226</v>
      </c>
      <c r="G1600" s="303"/>
      <c r="H1600" s="83"/>
      <c r="I1600" s="53"/>
      <c r="J1600" s="53"/>
      <c r="K1600" s="58"/>
    </row>
    <row r="1601" spans="1:23" s="3" customFormat="1" ht="12" customHeight="1" x14ac:dyDescent="0.2">
      <c r="A1601" s="211"/>
      <c r="B1601" s="12" t="s">
        <v>45</v>
      </c>
      <c r="C1601" s="11" t="s">
        <v>17</v>
      </c>
      <c r="D1601" s="21">
        <v>1</v>
      </c>
      <c r="E1601" s="48">
        <f>VLOOKUP(B1601,'Costo de Materiales'!B$4:D$350,3,FALSE)</f>
        <v>1.5274772701391688</v>
      </c>
      <c r="F1601" s="206">
        <f>D1601*E1601</f>
        <v>1.5274772701391688</v>
      </c>
      <c r="G1601" s="302"/>
      <c r="H1601" s="83"/>
      <c r="I1601" s="53"/>
      <c r="J1601" s="53"/>
      <c r="K1601" s="58"/>
    </row>
    <row r="1602" spans="1:23" s="3" customFormat="1" ht="12" customHeight="1" x14ac:dyDescent="0.2">
      <c r="A1602" s="211"/>
      <c r="B1602" s="15" t="s">
        <v>336</v>
      </c>
      <c r="C1602" s="11" t="s">
        <v>17</v>
      </c>
      <c r="D1602" s="21">
        <v>4</v>
      </c>
      <c r="E1602" s="48">
        <f>VLOOKUP(B1602,'Costo de Materiales'!B$4:D$350,3,FALSE)</f>
        <v>4.4497990891787589E-3</v>
      </c>
      <c r="F1602" s="206">
        <f t="shared" ref="F1602:F1608" si="148">D1602*E1602</f>
        <v>1.7799196356715036E-2</v>
      </c>
      <c r="G1602" s="302"/>
      <c r="H1602" s="83"/>
      <c r="I1602" s="53"/>
      <c r="J1602" s="53"/>
      <c r="K1602" s="58"/>
    </row>
    <row r="1603" spans="1:23" s="3" customFormat="1" ht="12" customHeight="1" x14ac:dyDescent="0.2">
      <c r="A1603" s="211"/>
      <c r="B1603" s="12" t="s">
        <v>227</v>
      </c>
      <c r="C1603" s="11" t="s">
        <v>17</v>
      </c>
      <c r="D1603" s="21">
        <v>1</v>
      </c>
      <c r="E1603" s="48">
        <f>VLOOKUP(B1603,'Costo de Materiales'!B$4:D$350,3,FALSE)</f>
        <v>0.10014440315753916</v>
      </c>
      <c r="F1603" s="206">
        <f t="shared" si="148"/>
        <v>0.10014440315753916</v>
      </c>
      <c r="G1603" s="302"/>
      <c r="H1603" s="83"/>
      <c r="I1603" s="53"/>
      <c r="J1603" s="53"/>
      <c r="K1603" s="58"/>
    </row>
    <row r="1604" spans="1:23" s="3" customFormat="1" ht="12" customHeight="1" x14ac:dyDescent="0.2">
      <c r="A1604" s="211"/>
      <c r="B1604" s="16" t="s">
        <v>521</v>
      </c>
      <c r="C1604" s="11" t="s">
        <v>17</v>
      </c>
      <c r="D1604" s="21">
        <v>1</v>
      </c>
      <c r="E1604" s="48">
        <f>VLOOKUP(B1604,'Costo de Materiales'!B$4:D$350,3,FALSE)</f>
        <v>0.13600000000000001</v>
      </c>
      <c r="F1604" s="206">
        <f t="shared" si="148"/>
        <v>0.13600000000000001</v>
      </c>
      <c r="G1604" s="302"/>
      <c r="H1604" s="83"/>
      <c r="I1604" s="53"/>
      <c r="J1604" s="53"/>
      <c r="K1604" s="58"/>
    </row>
    <row r="1605" spans="1:23" s="3" customFormat="1" ht="12" customHeight="1" x14ac:dyDescent="0.2">
      <c r="A1605" s="211"/>
      <c r="B1605" s="16" t="s">
        <v>211</v>
      </c>
      <c r="C1605" s="192" t="s">
        <v>11</v>
      </c>
      <c r="D1605" s="34">
        <v>0.03</v>
      </c>
      <c r="E1605" s="48">
        <f>SUM(F1601:F1604)</f>
        <v>1.7814208696534228</v>
      </c>
      <c r="F1605" s="206">
        <f t="shared" si="148"/>
        <v>5.3442626089602686E-2</v>
      </c>
      <c r="G1605" s="302"/>
      <c r="H1605" s="83"/>
      <c r="I1605" s="53"/>
      <c r="J1605" s="53"/>
      <c r="K1605" s="58"/>
    </row>
    <row r="1606" spans="1:23" s="3" customFormat="1" ht="12" customHeight="1" x14ac:dyDescent="0.2">
      <c r="A1606" s="211"/>
      <c r="B1606" s="188" t="s">
        <v>266</v>
      </c>
      <c r="C1606" s="35" t="s">
        <v>33</v>
      </c>
      <c r="D1606" s="35">
        <v>0.35</v>
      </c>
      <c r="E1606" s="48">
        <f>VLOOKUP(B1606,'Costo de Materiales'!B$4:D$350,3,FALSE)</f>
        <v>0.87720053729330372</v>
      </c>
      <c r="F1606" s="206">
        <f>D1606*E1606</f>
        <v>0.3070201880526563</v>
      </c>
      <c r="G1606" s="302"/>
      <c r="H1606" s="83"/>
      <c r="I1606" s="53"/>
      <c r="J1606" s="53"/>
      <c r="K1606" s="58"/>
    </row>
    <row r="1607" spans="1:23" s="3" customFormat="1" ht="12" customHeight="1" x14ac:dyDescent="0.2">
      <c r="A1607" s="205"/>
      <c r="B1607" s="15" t="s">
        <v>10</v>
      </c>
      <c r="C1607" s="20" t="s">
        <v>33</v>
      </c>
      <c r="D1607" s="20">
        <v>0.35</v>
      </c>
      <c r="E1607" s="44">
        <f>VLOOKUP(B1607,'Costo de Materiales'!B$4:D$350,3,FALSE)</f>
        <v>0.35088021491732146</v>
      </c>
      <c r="F1607" s="206">
        <f t="shared" si="148"/>
        <v>0.1228080752210625</v>
      </c>
      <c r="G1607" s="302"/>
      <c r="H1607" s="83"/>
      <c r="I1607" s="53"/>
      <c r="J1607" s="53"/>
      <c r="K1607" s="58"/>
    </row>
    <row r="1608" spans="1:23" s="3" customFormat="1" ht="12" customHeight="1" thickBot="1" x14ac:dyDescent="0.25">
      <c r="A1608" s="236"/>
      <c r="B1608" s="237" t="s">
        <v>109</v>
      </c>
      <c r="C1608" s="238" t="s">
        <v>11</v>
      </c>
      <c r="D1608" s="239">
        <f>VLOOKUP(B1608,'Costo de Materiales'!B$4:D$350,3,FALSE)</f>
        <v>0.28999999999999998</v>
      </c>
      <c r="E1608" s="240">
        <f>F1606+F1607</f>
        <v>0.42982826327371881</v>
      </c>
      <c r="F1608" s="241">
        <f t="shared" si="148"/>
        <v>0.12465019634937845</v>
      </c>
      <c r="G1608" s="318"/>
      <c r="H1608" s="83"/>
      <c r="I1608" s="53"/>
      <c r="J1608" s="53"/>
      <c r="K1608" s="58"/>
    </row>
    <row r="1609" spans="1:23" ht="12" customHeight="1" x14ac:dyDescent="0.2">
      <c r="A1609" s="6"/>
      <c r="F1609" s="4"/>
      <c r="G1609" s="114"/>
      <c r="K1609" s="78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</row>
    <row r="1610" spans="1:23" ht="12" customHeight="1" x14ac:dyDescent="0.2">
      <c r="A1610" s="6"/>
      <c r="F1610" s="4"/>
      <c r="G1610" s="114"/>
      <c r="K1610" s="78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</row>
    <row r="1611" spans="1:23" ht="12" customHeight="1" x14ac:dyDescent="0.2">
      <c r="A1611" s="6"/>
      <c r="F1611" s="4"/>
      <c r="G1611" s="114"/>
      <c r="K1611" s="78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</row>
    <row r="1612" spans="1:23" ht="12" customHeight="1" x14ac:dyDescent="0.2">
      <c r="A1612" s="6"/>
      <c r="F1612" s="4"/>
      <c r="G1612" s="114"/>
      <c r="K1612" s="78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</row>
    <row r="1613" spans="1:23" ht="12" customHeight="1" x14ac:dyDescent="0.2">
      <c r="A1613" s="6"/>
      <c r="F1613" s="4"/>
      <c r="G1613" s="114"/>
      <c r="K1613" s="78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</row>
    <row r="1614" spans="1:23" ht="12" customHeight="1" x14ac:dyDescent="0.2">
      <c r="A1614" s="6"/>
      <c r="F1614" s="4"/>
      <c r="G1614" s="114"/>
      <c r="K1614" s="78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</row>
    <row r="1615" spans="1:23" ht="12" customHeight="1" x14ac:dyDescent="0.2">
      <c r="A1615" s="6"/>
      <c r="F1615" s="4"/>
      <c r="G1615" s="114"/>
      <c r="K1615" s="78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</row>
    <row r="1616" spans="1:23" ht="12" customHeight="1" x14ac:dyDescent="0.2">
      <c r="A1616" s="6"/>
      <c r="F1616" s="4"/>
      <c r="G1616" s="114"/>
      <c r="K1616" s="78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</row>
    <row r="1617" spans="1:23" ht="12" customHeight="1" x14ac:dyDescent="0.2">
      <c r="A1617" s="6"/>
      <c r="F1617" s="4"/>
      <c r="G1617" s="114"/>
      <c r="K1617" s="78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</row>
    <row r="1618" spans="1:23" ht="12" customHeight="1" x14ac:dyDescent="0.2">
      <c r="A1618" s="6"/>
      <c r="F1618" s="4"/>
      <c r="G1618" s="114"/>
      <c r="K1618" s="78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</row>
    <row r="1619" spans="1:23" ht="12" customHeight="1" x14ac:dyDescent="0.2">
      <c r="A1619" s="6"/>
      <c r="F1619" s="4"/>
      <c r="G1619" s="114"/>
      <c r="K1619" s="78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</row>
    <row r="1620" spans="1:23" ht="12" customHeight="1" x14ac:dyDescent="0.2">
      <c r="A1620" s="6"/>
      <c r="F1620" s="4"/>
      <c r="G1620" s="114"/>
      <c r="K1620" s="78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</row>
    <row r="1621" spans="1:23" ht="12" customHeight="1" x14ac:dyDescent="0.2">
      <c r="A1621" s="6"/>
      <c r="F1621" s="4"/>
      <c r="G1621" s="114"/>
      <c r="K1621" s="78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</row>
    <row r="1622" spans="1:23" ht="12" customHeight="1" x14ac:dyDescent="0.2">
      <c r="A1622" s="6"/>
      <c r="F1622" s="4"/>
      <c r="G1622" s="114"/>
      <c r="K1622" s="78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</row>
    <row r="1623" spans="1:23" ht="12" customHeight="1" x14ac:dyDescent="0.2">
      <c r="A1623" s="6"/>
      <c r="F1623" s="4"/>
      <c r="G1623" s="114"/>
      <c r="K1623" s="78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</row>
    <row r="1624" spans="1:23" ht="12" customHeight="1" x14ac:dyDescent="0.2">
      <c r="A1624" s="6"/>
      <c r="F1624" s="4"/>
      <c r="G1624" s="114"/>
      <c r="K1624" s="78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</row>
    <row r="1625" spans="1:23" ht="12" customHeight="1" x14ac:dyDescent="0.2">
      <c r="A1625" s="6"/>
      <c r="F1625" s="4"/>
      <c r="G1625" s="114"/>
      <c r="K1625" s="78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</row>
    <row r="1626" spans="1:23" ht="12" customHeight="1" x14ac:dyDescent="0.2">
      <c r="A1626" s="6"/>
      <c r="F1626" s="4"/>
      <c r="G1626" s="114"/>
      <c r="K1626" s="78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</row>
    <row r="1627" spans="1:23" ht="12" customHeight="1" x14ac:dyDescent="0.2">
      <c r="A1627" s="6"/>
      <c r="F1627" s="4"/>
      <c r="G1627" s="114"/>
      <c r="K1627" s="78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</row>
    <row r="1628" spans="1:23" ht="12" customHeight="1" x14ac:dyDescent="0.2">
      <c r="A1628" s="6"/>
      <c r="F1628" s="4"/>
      <c r="G1628" s="114"/>
      <c r="K1628" s="78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</row>
    <row r="1629" spans="1:23" ht="12" customHeight="1" x14ac:dyDescent="0.2">
      <c r="A1629" s="6"/>
      <c r="F1629" s="4"/>
      <c r="G1629" s="114"/>
      <c r="K1629" s="78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</row>
    <row r="1630" spans="1:23" ht="12" customHeight="1" x14ac:dyDescent="0.2">
      <c r="A1630" s="6"/>
      <c r="F1630" s="4"/>
      <c r="G1630" s="114"/>
      <c r="K1630" s="78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</row>
    <row r="1631" spans="1:23" ht="12" customHeight="1" x14ac:dyDescent="0.2">
      <c r="A1631" s="6"/>
      <c r="F1631" s="4"/>
      <c r="G1631" s="114"/>
      <c r="K1631" s="78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</row>
    <row r="1632" spans="1:23" ht="12" customHeight="1" x14ac:dyDescent="0.2">
      <c r="A1632" s="6"/>
      <c r="F1632" s="4"/>
      <c r="G1632" s="114"/>
      <c r="K1632" s="78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</row>
    <row r="1633" spans="1:23" ht="12" customHeight="1" x14ac:dyDescent="0.2">
      <c r="A1633" s="6"/>
      <c r="F1633" s="4"/>
      <c r="G1633" s="114"/>
      <c r="K1633" s="78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</row>
    <row r="1634" spans="1:23" ht="12" customHeight="1" x14ac:dyDescent="0.2">
      <c r="A1634" s="6"/>
      <c r="F1634" s="4"/>
      <c r="G1634" s="114"/>
      <c r="K1634" s="78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</row>
    <row r="1635" spans="1:23" ht="12" customHeight="1" x14ac:dyDescent="0.2">
      <c r="A1635" s="6"/>
      <c r="F1635" s="4"/>
      <c r="G1635" s="114"/>
      <c r="K1635" s="78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</row>
    <row r="1636" spans="1:23" ht="12" customHeight="1" x14ac:dyDescent="0.2">
      <c r="A1636" s="6"/>
      <c r="F1636" s="4"/>
      <c r="G1636" s="114"/>
      <c r="K1636" s="78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</row>
    <row r="1637" spans="1:23" ht="12" customHeight="1" x14ac:dyDescent="0.2">
      <c r="A1637" s="6"/>
      <c r="F1637" s="4"/>
      <c r="G1637" s="114"/>
      <c r="K1637" s="78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</row>
    <row r="1638" spans="1:23" ht="12" customHeight="1" x14ac:dyDescent="0.2">
      <c r="A1638" s="6"/>
      <c r="F1638" s="4"/>
      <c r="G1638" s="114"/>
      <c r="K1638" s="78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</row>
    <row r="1639" spans="1:23" ht="12" customHeight="1" x14ac:dyDescent="0.2">
      <c r="A1639" s="6"/>
      <c r="F1639" s="4"/>
      <c r="G1639" s="114"/>
      <c r="K1639" s="78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</row>
    <row r="1640" spans="1:23" ht="12" customHeight="1" x14ac:dyDescent="0.2">
      <c r="A1640" s="6"/>
      <c r="F1640" s="4"/>
      <c r="G1640" s="114"/>
      <c r="K1640" s="78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</row>
    <row r="1641" spans="1:23" ht="12" customHeight="1" x14ac:dyDescent="0.2">
      <c r="A1641" s="6"/>
      <c r="F1641" s="4"/>
      <c r="G1641" s="114"/>
      <c r="K1641" s="78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</row>
    <row r="1642" spans="1:23" ht="12" customHeight="1" x14ac:dyDescent="0.2">
      <c r="A1642" s="6"/>
      <c r="F1642" s="4"/>
      <c r="G1642" s="114"/>
      <c r="K1642" s="78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</row>
    <row r="1643" spans="1:23" ht="12" customHeight="1" x14ac:dyDescent="0.2">
      <c r="A1643" s="6"/>
      <c r="F1643" s="4"/>
      <c r="G1643" s="114"/>
      <c r="K1643" s="78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</row>
    <row r="1644" spans="1:23" ht="12" customHeight="1" x14ac:dyDescent="0.2">
      <c r="A1644" s="6"/>
      <c r="F1644" s="4"/>
      <c r="G1644" s="114"/>
      <c r="K1644" s="78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</row>
    <row r="1645" spans="1:23" ht="12" customHeight="1" x14ac:dyDescent="0.2">
      <c r="A1645" s="6"/>
      <c r="F1645" s="4"/>
      <c r="G1645" s="114"/>
      <c r="K1645" s="78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</row>
    <row r="1646" spans="1:23" ht="12" customHeight="1" x14ac:dyDescent="0.2">
      <c r="A1646" s="6"/>
      <c r="F1646" s="4"/>
      <c r="G1646" s="114"/>
      <c r="K1646" s="78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</row>
    <row r="1647" spans="1:23" ht="12" customHeight="1" x14ac:dyDescent="0.2">
      <c r="A1647" s="6"/>
      <c r="F1647" s="4"/>
      <c r="G1647" s="114"/>
      <c r="K1647" s="78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</row>
    <row r="1648" spans="1:23" ht="12" customHeight="1" x14ac:dyDescent="0.2">
      <c r="A1648" s="6"/>
      <c r="F1648" s="4"/>
      <c r="G1648" s="114"/>
      <c r="K1648" s="78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</row>
    <row r="1649" spans="1:23" ht="12" customHeight="1" x14ac:dyDescent="0.2">
      <c r="A1649" s="6"/>
      <c r="F1649" s="4"/>
      <c r="G1649" s="114"/>
      <c r="K1649" s="78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</row>
    <row r="1650" spans="1:23" ht="12" customHeight="1" x14ac:dyDescent="0.2">
      <c r="A1650" s="6"/>
      <c r="F1650" s="4"/>
      <c r="G1650" s="114"/>
      <c r="K1650" s="78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</row>
    <row r="1651" spans="1:23" ht="12" customHeight="1" x14ac:dyDescent="0.2">
      <c r="A1651" s="6"/>
      <c r="F1651" s="4"/>
      <c r="G1651" s="114"/>
      <c r="K1651" s="78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</row>
    <row r="1652" spans="1:23" ht="12" customHeight="1" x14ac:dyDescent="0.2">
      <c r="A1652" s="6"/>
      <c r="F1652" s="4"/>
      <c r="G1652" s="114"/>
      <c r="K1652" s="78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</row>
    <row r="1653" spans="1:23" ht="12" customHeight="1" x14ac:dyDescent="0.2">
      <c r="A1653" s="6"/>
      <c r="F1653" s="4"/>
      <c r="G1653" s="114"/>
      <c r="K1653" s="78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</row>
    <row r="1654" spans="1:23" ht="12" customHeight="1" x14ac:dyDescent="0.2">
      <c r="A1654" s="6"/>
      <c r="F1654" s="4"/>
      <c r="G1654" s="114"/>
      <c r="K1654" s="78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</row>
    <row r="1655" spans="1:23" ht="12" customHeight="1" x14ac:dyDescent="0.2">
      <c r="A1655" s="6"/>
      <c r="F1655" s="4"/>
      <c r="G1655" s="114"/>
      <c r="K1655" s="78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</row>
    <row r="1656" spans="1:23" ht="12" customHeight="1" x14ac:dyDescent="0.2">
      <c r="A1656" s="6"/>
      <c r="F1656" s="4"/>
      <c r="G1656" s="114"/>
      <c r="K1656" s="78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</row>
    <row r="1657" spans="1:23" ht="12" customHeight="1" x14ac:dyDescent="0.2">
      <c r="A1657" s="6"/>
      <c r="F1657" s="4"/>
      <c r="G1657" s="114"/>
      <c r="K1657" s="78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</row>
    <row r="1658" spans="1:23" ht="12" customHeight="1" x14ac:dyDescent="0.2">
      <c r="A1658" s="6"/>
      <c r="F1658" s="4"/>
      <c r="G1658" s="114"/>
      <c r="K1658" s="78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</row>
    <row r="1659" spans="1:23" ht="12" customHeight="1" x14ac:dyDescent="0.2">
      <c r="A1659" s="6"/>
      <c r="F1659" s="4"/>
      <c r="G1659" s="114"/>
      <c r="K1659" s="78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</row>
    <row r="1660" spans="1:23" ht="12" customHeight="1" x14ac:dyDescent="0.2">
      <c r="A1660" s="6"/>
      <c r="F1660" s="4"/>
      <c r="G1660" s="114"/>
      <c r="K1660" s="78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</row>
    <row r="1661" spans="1:23" ht="12" customHeight="1" x14ac:dyDescent="0.2">
      <c r="A1661" s="6"/>
      <c r="F1661" s="4"/>
      <c r="G1661" s="114"/>
      <c r="K1661" s="78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</row>
    <row r="1662" spans="1:23" ht="12" customHeight="1" x14ac:dyDescent="0.2">
      <c r="A1662" s="6"/>
      <c r="F1662" s="4"/>
      <c r="G1662" s="114"/>
      <c r="K1662" s="78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</row>
    <row r="1663" spans="1:23" ht="12" customHeight="1" x14ac:dyDescent="0.2">
      <c r="A1663" s="6"/>
      <c r="F1663" s="4"/>
      <c r="G1663" s="114"/>
      <c r="K1663" s="78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</row>
    <row r="1664" spans="1:23" ht="12" customHeight="1" x14ac:dyDescent="0.2">
      <c r="A1664" s="6"/>
      <c r="F1664" s="4"/>
      <c r="G1664" s="114"/>
      <c r="K1664" s="78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</row>
    <row r="1665" spans="1:23" ht="12" customHeight="1" x14ac:dyDescent="0.2">
      <c r="A1665" s="6"/>
      <c r="F1665" s="4"/>
      <c r="G1665" s="114"/>
      <c r="K1665" s="78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</row>
    <row r="1666" spans="1:23" ht="12" customHeight="1" x14ac:dyDescent="0.2">
      <c r="A1666" s="6"/>
      <c r="F1666" s="4"/>
      <c r="G1666" s="114"/>
      <c r="K1666" s="78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</row>
    <row r="1667" spans="1:23" ht="12" customHeight="1" x14ac:dyDescent="0.2">
      <c r="A1667" s="6"/>
      <c r="F1667" s="4"/>
      <c r="G1667" s="114"/>
      <c r="K1667" s="78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</row>
    <row r="1668" spans="1:23" ht="12" customHeight="1" x14ac:dyDescent="0.2">
      <c r="A1668" s="6"/>
      <c r="F1668" s="4"/>
      <c r="G1668" s="114"/>
      <c r="K1668" s="78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</row>
    <row r="1669" spans="1:23" ht="12" customHeight="1" x14ac:dyDescent="0.2">
      <c r="A1669" s="6"/>
      <c r="F1669" s="4"/>
      <c r="G1669" s="114"/>
      <c r="K1669" s="78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</row>
    <row r="1670" spans="1:23" ht="12" customHeight="1" x14ac:dyDescent="0.2">
      <c r="A1670" s="6"/>
      <c r="F1670" s="4"/>
      <c r="G1670" s="114"/>
      <c r="K1670" s="78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</row>
    <row r="1671" spans="1:23" ht="12" customHeight="1" x14ac:dyDescent="0.2">
      <c r="A1671" s="6"/>
      <c r="F1671" s="4"/>
      <c r="G1671" s="114"/>
      <c r="K1671" s="78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</row>
    <row r="1672" spans="1:23" ht="12" customHeight="1" x14ac:dyDescent="0.2">
      <c r="A1672" s="6"/>
      <c r="F1672" s="4"/>
      <c r="G1672" s="114"/>
      <c r="K1672" s="78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</row>
    <row r="1673" spans="1:23" ht="12" customHeight="1" x14ac:dyDescent="0.2">
      <c r="A1673" s="6"/>
      <c r="F1673" s="4"/>
      <c r="G1673" s="114"/>
      <c r="K1673" s="78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</row>
    <row r="1674" spans="1:23" ht="12" customHeight="1" x14ac:dyDescent="0.2">
      <c r="A1674" s="6"/>
      <c r="F1674" s="4"/>
      <c r="G1674" s="114"/>
      <c r="K1674" s="78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</row>
    <row r="1675" spans="1:23" ht="12" customHeight="1" x14ac:dyDescent="0.2">
      <c r="A1675" s="6"/>
      <c r="F1675" s="4"/>
      <c r="G1675" s="114"/>
      <c r="K1675" s="78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</row>
    <row r="1676" spans="1:23" ht="12" customHeight="1" x14ac:dyDescent="0.2">
      <c r="A1676" s="6"/>
      <c r="F1676" s="4"/>
      <c r="G1676" s="114"/>
      <c r="K1676" s="78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</row>
    <row r="1677" spans="1:23" ht="12" customHeight="1" x14ac:dyDescent="0.2">
      <c r="A1677" s="6"/>
      <c r="F1677" s="4"/>
      <c r="G1677" s="114"/>
      <c r="K1677" s="78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</row>
    <row r="1678" spans="1:23" ht="12" customHeight="1" x14ac:dyDescent="0.2">
      <c r="A1678" s="6"/>
      <c r="F1678" s="4"/>
      <c r="G1678" s="114"/>
      <c r="K1678" s="78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</row>
    <row r="1679" spans="1:23" ht="12" customHeight="1" x14ac:dyDescent="0.2">
      <c r="A1679" s="6"/>
      <c r="F1679" s="4"/>
      <c r="G1679" s="114"/>
      <c r="K1679" s="78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</row>
    <row r="1680" spans="1:23" ht="12" customHeight="1" x14ac:dyDescent="0.2">
      <c r="A1680" s="6"/>
      <c r="F1680" s="4"/>
      <c r="G1680" s="114"/>
      <c r="K1680" s="78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</row>
    <row r="1681" spans="1:23" ht="12" customHeight="1" x14ac:dyDescent="0.2">
      <c r="A1681" s="6"/>
      <c r="F1681" s="4"/>
      <c r="G1681" s="114"/>
      <c r="K1681" s="78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</row>
    <row r="1682" spans="1:23" ht="12" customHeight="1" x14ac:dyDescent="0.2">
      <c r="A1682" s="6"/>
      <c r="F1682" s="4"/>
      <c r="G1682" s="114"/>
      <c r="K1682" s="78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</row>
    <row r="1683" spans="1:23" ht="12" customHeight="1" x14ac:dyDescent="0.2">
      <c r="A1683" s="6"/>
      <c r="F1683" s="4"/>
      <c r="G1683" s="114"/>
      <c r="K1683" s="78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</row>
    <row r="1684" spans="1:23" ht="12" customHeight="1" x14ac:dyDescent="0.2">
      <c r="A1684" s="6"/>
      <c r="F1684" s="4"/>
      <c r="G1684" s="114"/>
      <c r="K1684" s="78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</row>
    <row r="1685" spans="1:23" ht="12" customHeight="1" x14ac:dyDescent="0.2">
      <c r="A1685" s="6"/>
      <c r="F1685" s="4"/>
      <c r="G1685" s="114"/>
      <c r="K1685" s="78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</row>
    <row r="1686" spans="1:23" ht="12" customHeight="1" x14ac:dyDescent="0.2">
      <c r="A1686" s="6"/>
      <c r="F1686" s="4"/>
      <c r="G1686" s="114"/>
      <c r="K1686" s="78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</row>
    <row r="1687" spans="1:23" ht="12" customHeight="1" x14ac:dyDescent="0.2">
      <c r="A1687" s="6"/>
      <c r="F1687" s="4"/>
      <c r="G1687" s="114"/>
      <c r="K1687" s="78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</row>
    <row r="1688" spans="1:23" ht="12" customHeight="1" x14ac:dyDescent="0.2">
      <c r="A1688" s="6"/>
      <c r="F1688" s="4"/>
      <c r="G1688" s="114"/>
      <c r="K1688" s="78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</row>
    <row r="1689" spans="1:23" ht="12" customHeight="1" x14ac:dyDescent="0.2">
      <c r="A1689" s="6"/>
      <c r="F1689" s="4"/>
      <c r="G1689" s="114"/>
      <c r="K1689" s="78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</row>
    <row r="1690" spans="1:23" ht="12" customHeight="1" x14ac:dyDescent="0.2">
      <c r="A1690" s="6"/>
      <c r="F1690" s="4"/>
      <c r="G1690" s="114"/>
      <c r="K1690" s="78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</row>
    <row r="1691" spans="1:23" ht="12" customHeight="1" x14ac:dyDescent="0.2">
      <c r="A1691" s="6"/>
      <c r="F1691" s="4"/>
      <c r="G1691" s="114"/>
      <c r="K1691" s="78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</row>
    <row r="1692" spans="1:23" ht="12" customHeight="1" x14ac:dyDescent="0.2">
      <c r="A1692" s="6"/>
      <c r="F1692" s="4"/>
      <c r="G1692" s="114"/>
      <c r="K1692" s="78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</row>
    <row r="1693" spans="1:23" ht="12" customHeight="1" x14ac:dyDescent="0.2">
      <c r="A1693" s="6"/>
      <c r="F1693" s="4"/>
      <c r="G1693" s="114"/>
      <c r="K1693" s="78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</row>
    <row r="1694" spans="1:23" ht="12" customHeight="1" x14ac:dyDescent="0.2">
      <c r="A1694" s="6"/>
      <c r="F1694" s="4"/>
      <c r="G1694" s="114"/>
      <c r="K1694" s="78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</row>
    <row r="1695" spans="1:23" ht="12" customHeight="1" x14ac:dyDescent="0.2">
      <c r="A1695" s="6"/>
      <c r="F1695" s="4"/>
      <c r="G1695" s="114"/>
      <c r="K1695" s="78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</row>
    <row r="1696" spans="1:23" ht="12" customHeight="1" x14ac:dyDescent="0.2">
      <c r="A1696" s="6"/>
      <c r="F1696" s="4"/>
      <c r="G1696" s="114"/>
      <c r="K1696" s="78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</row>
    <row r="1697" spans="1:23" ht="12" customHeight="1" x14ac:dyDescent="0.2">
      <c r="A1697" s="6"/>
      <c r="F1697" s="4"/>
      <c r="G1697" s="114"/>
      <c r="K1697" s="78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</row>
    <row r="1698" spans="1:23" ht="12" customHeight="1" x14ac:dyDescent="0.2">
      <c r="A1698" s="6"/>
      <c r="F1698" s="4"/>
      <c r="G1698" s="114"/>
      <c r="K1698" s="78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</row>
    <row r="1699" spans="1:23" ht="12" customHeight="1" x14ac:dyDescent="0.2">
      <c r="A1699" s="6"/>
      <c r="F1699" s="4"/>
      <c r="G1699" s="114"/>
      <c r="K1699" s="78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</row>
    <row r="1700" spans="1:23" ht="12" customHeight="1" x14ac:dyDescent="0.2">
      <c r="A1700" s="6"/>
      <c r="F1700" s="4"/>
      <c r="G1700" s="114"/>
      <c r="K1700" s="78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</row>
    <row r="1701" spans="1:23" ht="12" customHeight="1" x14ac:dyDescent="0.2">
      <c r="A1701" s="6"/>
      <c r="F1701" s="4"/>
      <c r="G1701" s="114"/>
      <c r="K1701" s="78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</row>
    <row r="1702" spans="1:23" ht="12" customHeight="1" x14ac:dyDescent="0.2">
      <c r="A1702" s="6"/>
      <c r="F1702" s="4"/>
      <c r="G1702" s="114"/>
      <c r="K1702" s="78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</row>
    <row r="1703" spans="1:23" ht="12" customHeight="1" x14ac:dyDescent="0.2">
      <c r="A1703" s="6"/>
      <c r="F1703" s="4"/>
      <c r="G1703" s="114"/>
      <c r="K1703" s="78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</row>
    <row r="1704" spans="1:23" ht="12" customHeight="1" x14ac:dyDescent="0.2">
      <c r="A1704" s="6"/>
      <c r="F1704" s="4"/>
      <c r="G1704" s="114"/>
      <c r="K1704" s="78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</row>
    <row r="1705" spans="1:23" ht="12" customHeight="1" x14ac:dyDescent="0.2">
      <c r="A1705" s="6"/>
      <c r="F1705" s="4"/>
      <c r="G1705" s="114"/>
      <c r="K1705" s="78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</row>
    <row r="1706" spans="1:23" ht="12" customHeight="1" x14ac:dyDescent="0.2">
      <c r="A1706" s="6"/>
      <c r="F1706" s="4"/>
      <c r="G1706" s="114"/>
      <c r="K1706" s="78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</row>
    <row r="1707" spans="1:23" ht="12" customHeight="1" x14ac:dyDescent="0.2">
      <c r="A1707" s="6"/>
      <c r="F1707" s="4"/>
      <c r="G1707" s="114"/>
      <c r="K1707" s="78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</row>
    <row r="1708" spans="1:23" ht="12" customHeight="1" x14ac:dyDescent="0.2">
      <c r="A1708" s="6"/>
      <c r="F1708" s="4"/>
      <c r="G1708" s="114"/>
      <c r="K1708" s="78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</row>
    <row r="1709" spans="1:23" ht="12" customHeight="1" x14ac:dyDescent="0.2">
      <c r="A1709" s="6"/>
      <c r="F1709" s="4"/>
      <c r="G1709" s="114"/>
      <c r="K1709" s="78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</row>
    <row r="1710" spans="1:23" ht="12" customHeight="1" x14ac:dyDescent="0.2">
      <c r="A1710" s="6"/>
      <c r="F1710" s="4"/>
      <c r="G1710" s="114"/>
      <c r="K1710" s="78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</row>
    <row r="1711" spans="1:23" ht="12" customHeight="1" x14ac:dyDescent="0.2">
      <c r="A1711" s="6"/>
      <c r="F1711" s="4"/>
      <c r="G1711" s="114"/>
      <c r="K1711" s="78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</row>
    <row r="1712" spans="1:23" ht="12" customHeight="1" x14ac:dyDescent="0.2">
      <c r="A1712" s="6"/>
      <c r="F1712" s="4"/>
      <c r="G1712" s="114"/>
      <c r="K1712" s="78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</row>
    <row r="1713" spans="1:23" ht="12" customHeight="1" x14ac:dyDescent="0.2">
      <c r="A1713" s="6"/>
      <c r="F1713" s="4"/>
      <c r="G1713" s="114"/>
      <c r="K1713" s="78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</row>
    <row r="1714" spans="1:23" ht="12" customHeight="1" x14ac:dyDescent="0.2">
      <c r="A1714" s="6"/>
      <c r="F1714" s="4"/>
      <c r="G1714" s="114"/>
      <c r="K1714" s="78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</row>
    <row r="1715" spans="1:23" ht="12" customHeight="1" x14ac:dyDescent="0.2">
      <c r="A1715" s="6"/>
      <c r="F1715" s="4"/>
      <c r="G1715" s="114"/>
      <c r="K1715" s="78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</row>
    <row r="1716" spans="1:23" ht="12" customHeight="1" x14ac:dyDescent="0.2">
      <c r="A1716" s="6"/>
      <c r="F1716" s="4"/>
      <c r="G1716" s="114"/>
      <c r="K1716" s="78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</row>
    <row r="1717" spans="1:23" ht="12" customHeight="1" x14ac:dyDescent="0.2">
      <c r="A1717" s="6"/>
      <c r="F1717" s="4"/>
      <c r="G1717" s="114"/>
      <c r="K1717" s="78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</row>
    <row r="1718" spans="1:23" ht="12" customHeight="1" x14ac:dyDescent="0.2">
      <c r="A1718" s="6"/>
      <c r="F1718" s="4"/>
      <c r="G1718" s="114"/>
      <c r="K1718" s="78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</row>
    <row r="1719" spans="1:23" ht="12" customHeight="1" x14ac:dyDescent="0.2">
      <c r="A1719" s="6"/>
      <c r="F1719" s="4"/>
      <c r="G1719" s="114"/>
      <c r="K1719" s="78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</row>
    <row r="1720" spans="1:23" ht="12" customHeight="1" x14ac:dyDescent="0.2">
      <c r="A1720" s="6"/>
      <c r="F1720" s="4"/>
      <c r="G1720" s="114"/>
      <c r="K1720" s="78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</row>
    <row r="1721" spans="1:23" ht="12" customHeight="1" x14ac:dyDescent="0.2">
      <c r="A1721" s="6"/>
      <c r="F1721" s="4"/>
      <c r="G1721" s="114"/>
      <c r="K1721" s="78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</row>
    <row r="1722" spans="1:23" ht="12" customHeight="1" x14ac:dyDescent="0.2">
      <c r="A1722" s="6"/>
      <c r="F1722" s="4"/>
      <c r="G1722" s="114"/>
      <c r="K1722" s="78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</row>
    <row r="1723" spans="1:23" ht="12" customHeight="1" x14ac:dyDescent="0.2">
      <c r="A1723" s="6"/>
      <c r="F1723" s="4"/>
      <c r="G1723" s="114"/>
      <c r="K1723" s="78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</row>
    <row r="1724" spans="1:23" ht="12" customHeight="1" x14ac:dyDescent="0.2">
      <c r="A1724" s="6"/>
      <c r="F1724" s="4"/>
      <c r="G1724" s="114"/>
      <c r="K1724" s="78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</row>
    <row r="1725" spans="1:23" ht="12" customHeight="1" x14ac:dyDescent="0.2">
      <c r="A1725" s="6"/>
      <c r="F1725" s="4"/>
      <c r="G1725" s="114"/>
      <c r="K1725" s="78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</row>
    <row r="1726" spans="1:23" ht="12" customHeight="1" x14ac:dyDescent="0.2">
      <c r="A1726" s="6"/>
      <c r="F1726" s="4"/>
      <c r="G1726" s="114"/>
      <c r="K1726" s="78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</row>
    <row r="1727" spans="1:23" x14ac:dyDescent="0.2">
      <c r="A1727" s="6"/>
      <c r="F1727" s="4"/>
      <c r="G1727" s="114"/>
      <c r="K1727" s="78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</row>
    <row r="1728" spans="1:23" x14ac:dyDescent="0.2">
      <c r="A1728" s="6"/>
      <c r="F1728" s="4"/>
      <c r="G1728" s="114"/>
      <c r="K1728" s="78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</row>
    <row r="1729" spans="1:23" x14ac:dyDescent="0.2">
      <c r="A1729" s="6"/>
      <c r="F1729" s="4"/>
      <c r="G1729" s="114"/>
      <c r="K1729" s="78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</row>
    <row r="1730" spans="1:23" x14ac:dyDescent="0.2">
      <c r="A1730" s="6"/>
      <c r="F1730" s="4"/>
      <c r="G1730" s="114"/>
      <c r="K1730" s="78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</row>
    <row r="1731" spans="1:23" x14ac:dyDescent="0.2">
      <c r="A1731" s="6"/>
      <c r="F1731" s="4"/>
      <c r="G1731" s="114"/>
      <c r="K1731" s="78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</row>
    <row r="1732" spans="1:23" x14ac:dyDescent="0.2">
      <c r="A1732" s="6"/>
      <c r="F1732" s="4"/>
      <c r="G1732" s="114"/>
      <c r="K1732" s="78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</row>
    <row r="1733" spans="1:23" x14ac:dyDescent="0.2">
      <c r="A1733" s="6"/>
      <c r="F1733" s="4"/>
      <c r="G1733" s="114"/>
      <c r="K1733" s="78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</row>
    <row r="1734" spans="1:23" x14ac:dyDescent="0.2">
      <c r="A1734" s="6"/>
      <c r="F1734" s="4"/>
      <c r="G1734" s="114"/>
      <c r="K1734" s="78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</row>
    <row r="1735" spans="1:23" x14ac:dyDescent="0.2">
      <c r="A1735" s="6"/>
      <c r="F1735" s="4"/>
      <c r="G1735" s="114"/>
      <c r="K1735" s="78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</row>
    <row r="1736" spans="1:23" x14ac:dyDescent="0.2">
      <c r="A1736" s="6"/>
      <c r="F1736" s="4"/>
      <c r="G1736" s="114"/>
      <c r="K1736" s="78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</row>
    <row r="1737" spans="1:23" x14ac:dyDescent="0.2">
      <c r="A1737" s="6"/>
      <c r="F1737" s="4"/>
      <c r="G1737" s="114"/>
      <c r="K1737" s="78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</row>
    <row r="1738" spans="1:23" x14ac:dyDescent="0.2">
      <c r="A1738" s="6"/>
      <c r="F1738" s="4"/>
      <c r="G1738" s="114"/>
      <c r="K1738" s="78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</row>
    <row r="1739" spans="1:23" x14ac:dyDescent="0.2">
      <c r="A1739" s="6"/>
      <c r="F1739" s="4"/>
      <c r="G1739" s="114"/>
      <c r="K1739" s="78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</row>
    <row r="1740" spans="1:23" x14ac:dyDescent="0.2">
      <c r="A1740" s="6"/>
      <c r="F1740" s="4"/>
      <c r="G1740" s="114"/>
      <c r="K1740" s="78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</row>
    <row r="1741" spans="1:23" x14ac:dyDescent="0.2">
      <c r="A1741" s="6"/>
      <c r="F1741" s="4"/>
      <c r="G1741" s="114"/>
      <c r="K1741" s="78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</row>
    <row r="1742" spans="1:23" x14ac:dyDescent="0.2">
      <c r="A1742" s="6"/>
      <c r="F1742" s="4"/>
      <c r="G1742" s="114"/>
      <c r="K1742" s="78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</row>
    <row r="1743" spans="1:23" x14ac:dyDescent="0.2">
      <c r="A1743" s="6"/>
      <c r="F1743" s="4"/>
      <c r="G1743" s="114"/>
      <c r="K1743" s="78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</row>
    <row r="1744" spans="1:23" x14ac:dyDescent="0.2">
      <c r="A1744" s="6"/>
      <c r="F1744" s="4"/>
      <c r="G1744" s="114"/>
      <c r="K1744" s="78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</row>
    <row r="1745" spans="1:23" x14ac:dyDescent="0.2">
      <c r="A1745" s="6"/>
      <c r="F1745" s="4"/>
      <c r="G1745" s="114"/>
      <c r="K1745" s="78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</row>
    <row r="1746" spans="1:23" x14ac:dyDescent="0.2">
      <c r="A1746" s="6"/>
      <c r="F1746" s="4"/>
      <c r="G1746" s="114"/>
      <c r="K1746" s="78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</row>
    <row r="1747" spans="1:23" x14ac:dyDescent="0.2">
      <c r="A1747" s="6"/>
      <c r="F1747" s="4"/>
      <c r="G1747" s="114"/>
      <c r="K1747" s="78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</row>
    <row r="1748" spans="1:23" x14ac:dyDescent="0.2">
      <c r="A1748" s="6"/>
      <c r="F1748" s="4"/>
      <c r="G1748" s="114"/>
      <c r="K1748" s="78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</row>
    <row r="1749" spans="1:23" x14ac:dyDescent="0.2">
      <c r="A1749" s="6"/>
      <c r="F1749" s="4"/>
      <c r="G1749" s="114"/>
      <c r="K1749" s="78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</row>
    <row r="1750" spans="1:23" x14ac:dyDescent="0.2">
      <c r="A1750" s="6"/>
      <c r="F1750" s="4"/>
      <c r="G1750" s="114"/>
      <c r="K1750" s="78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</row>
    <row r="1751" spans="1:23" x14ac:dyDescent="0.2">
      <c r="A1751" s="6"/>
      <c r="F1751" s="4"/>
      <c r="G1751" s="114"/>
      <c r="K1751" s="78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</row>
    <row r="1752" spans="1:23" x14ac:dyDescent="0.2">
      <c r="A1752" s="6"/>
      <c r="F1752" s="4"/>
      <c r="G1752" s="114"/>
      <c r="K1752" s="78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</row>
    <row r="1753" spans="1:23" x14ac:dyDescent="0.2">
      <c r="A1753" s="6"/>
      <c r="F1753" s="4"/>
      <c r="G1753" s="114"/>
      <c r="K1753" s="78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</row>
    <row r="1754" spans="1:23" x14ac:dyDescent="0.2">
      <c r="A1754" s="6"/>
      <c r="F1754" s="4"/>
      <c r="G1754" s="114"/>
      <c r="K1754" s="78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</row>
    <row r="1755" spans="1:23" x14ac:dyDescent="0.2">
      <c r="A1755" s="6"/>
      <c r="F1755" s="4"/>
      <c r="G1755" s="114"/>
      <c r="K1755" s="78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</row>
    <row r="1756" spans="1:23" x14ac:dyDescent="0.2">
      <c r="A1756" s="6"/>
      <c r="F1756" s="4"/>
      <c r="G1756" s="114"/>
      <c r="K1756" s="78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</row>
    <row r="1757" spans="1:23" x14ac:dyDescent="0.2">
      <c r="A1757" s="6"/>
      <c r="F1757" s="4"/>
      <c r="G1757" s="114"/>
      <c r="K1757" s="78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</row>
    <row r="1758" spans="1:23" x14ac:dyDescent="0.2">
      <c r="A1758" s="6"/>
      <c r="F1758" s="4"/>
      <c r="G1758" s="114"/>
      <c r="K1758" s="78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</row>
    <row r="1759" spans="1:23" x14ac:dyDescent="0.2">
      <c r="A1759" s="6"/>
      <c r="F1759" s="4"/>
      <c r="G1759" s="114"/>
      <c r="K1759" s="78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</row>
    <row r="1760" spans="1:23" x14ac:dyDescent="0.2">
      <c r="A1760" s="6"/>
      <c r="F1760" s="4"/>
      <c r="G1760" s="114"/>
      <c r="K1760" s="78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</row>
    <row r="1761" spans="1:23" x14ac:dyDescent="0.2">
      <c r="A1761" s="6"/>
      <c r="F1761" s="4"/>
      <c r="G1761" s="114"/>
      <c r="K1761" s="78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</row>
    <row r="1762" spans="1:23" x14ac:dyDescent="0.2">
      <c r="A1762" s="6"/>
      <c r="F1762" s="4"/>
      <c r="G1762" s="114"/>
      <c r="K1762" s="78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</row>
    <row r="1763" spans="1:23" x14ac:dyDescent="0.2">
      <c r="A1763" s="6"/>
      <c r="F1763" s="4"/>
      <c r="G1763" s="114"/>
      <c r="K1763" s="78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</row>
    <row r="1764" spans="1:23" x14ac:dyDescent="0.2">
      <c r="A1764" s="6"/>
      <c r="F1764" s="4"/>
      <c r="G1764" s="114"/>
      <c r="K1764" s="78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</row>
    <row r="1765" spans="1:23" x14ac:dyDescent="0.2">
      <c r="A1765" s="6"/>
      <c r="F1765" s="4"/>
      <c r="G1765" s="114"/>
      <c r="K1765" s="78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</row>
    <row r="1766" spans="1:23" x14ac:dyDescent="0.2">
      <c r="A1766" s="6"/>
      <c r="F1766" s="4"/>
      <c r="G1766" s="114"/>
      <c r="K1766" s="78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</row>
    <row r="1767" spans="1:23" x14ac:dyDescent="0.2">
      <c r="A1767" s="6"/>
      <c r="F1767" s="4"/>
      <c r="G1767" s="114"/>
      <c r="K1767" s="78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</row>
    <row r="1768" spans="1:23" x14ac:dyDescent="0.2">
      <c r="A1768" s="6"/>
      <c r="F1768" s="4"/>
      <c r="G1768" s="114"/>
      <c r="K1768" s="78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</row>
    <row r="1769" spans="1:23" x14ac:dyDescent="0.2">
      <c r="A1769" s="6"/>
      <c r="F1769" s="4"/>
      <c r="G1769" s="114"/>
      <c r="K1769" s="78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</row>
    <row r="1770" spans="1:23" x14ac:dyDescent="0.2">
      <c r="A1770" s="6"/>
      <c r="F1770" s="4"/>
      <c r="G1770" s="114"/>
      <c r="K1770" s="78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</row>
    <row r="1771" spans="1:23" x14ac:dyDescent="0.2">
      <c r="A1771" s="6"/>
      <c r="F1771" s="4"/>
      <c r="G1771" s="114"/>
      <c r="K1771" s="78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</row>
    <row r="1772" spans="1:23" x14ac:dyDescent="0.2">
      <c r="A1772" s="6"/>
      <c r="F1772" s="4"/>
      <c r="G1772" s="114"/>
      <c r="K1772" s="78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</row>
    <row r="1773" spans="1:23" x14ac:dyDescent="0.2">
      <c r="A1773" s="6"/>
      <c r="F1773" s="4"/>
      <c r="G1773" s="114"/>
      <c r="K1773" s="78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</row>
    <row r="1774" spans="1:23" x14ac:dyDescent="0.2">
      <c r="A1774" s="6"/>
      <c r="F1774" s="4"/>
      <c r="G1774" s="114"/>
      <c r="K1774" s="78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</row>
    <row r="1775" spans="1:23" x14ac:dyDescent="0.2">
      <c r="A1775" s="6"/>
      <c r="F1775" s="4"/>
      <c r="G1775" s="114"/>
      <c r="K1775" s="78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</row>
    <row r="1776" spans="1:23" x14ac:dyDescent="0.2">
      <c r="A1776" s="6"/>
      <c r="F1776" s="4"/>
      <c r="G1776" s="114"/>
      <c r="K1776" s="78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</row>
    <row r="1777" spans="1:23" x14ac:dyDescent="0.2">
      <c r="A1777" s="6"/>
      <c r="F1777" s="4"/>
      <c r="G1777" s="114"/>
      <c r="K1777" s="78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</row>
    <row r="1778" spans="1:23" x14ac:dyDescent="0.2">
      <c r="G1778" s="143"/>
    </row>
    <row r="1779" spans="1:23" x14ac:dyDescent="0.2">
      <c r="G1779" s="143"/>
    </row>
    <row r="1780" spans="1:23" x14ac:dyDescent="0.2">
      <c r="G1780" s="143"/>
    </row>
    <row r="1781" spans="1:23" x14ac:dyDescent="0.2">
      <c r="G1781" s="143"/>
    </row>
    <row r="1782" spans="1:23" x14ac:dyDescent="0.2">
      <c r="G1782" s="143"/>
    </row>
    <row r="1783" spans="1:23" x14ac:dyDescent="0.2">
      <c r="G1783" s="143"/>
    </row>
    <row r="1784" spans="1:23" x14ac:dyDescent="0.2">
      <c r="G1784" s="143"/>
    </row>
    <row r="1785" spans="1:23" x14ac:dyDescent="0.2">
      <c r="G1785" s="143"/>
    </row>
    <row r="1786" spans="1:23" x14ac:dyDescent="0.2">
      <c r="G1786" s="143"/>
    </row>
    <row r="1787" spans="1:23" x14ac:dyDescent="0.2">
      <c r="G1787" s="143"/>
    </row>
    <row r="1788" spans="1:23" x14ac:dyDescent="0.2">
      <c r="G1788" s="143"/>
    </row>
    <row r="1789" spans="1:23" x14ac:dyDescent="0.2">
      <c r="G1789" s="143"/>
    </row>
    <row r="1790" spans="1:23" x14ac:dyDescent="0.2">
      <c r="G1790" s="143"/>
    </row>
    <row r="1791" spans="1:23" x14ac:dyDescent="0.2">
      <c r="G1791" s="143"/>
    </row>
    <row r="1792" spans="1:23" x14ac:dyDescent="0.2">
      <c r="G1792" s="143"/>
    </row>
    <row r="1793" spans="7:7" x14ac:dyDescent="0.2">
      <c r="G1793" s="143"/>
    </row>
    <row r="1794" spans="7:7" x14ac:dyDescent="0.2">
      <c r="G1794" s="143"/>
    </row>
    <row r="1795" spans="7:7" x14ac:dyDescent="0.2">
      <c r="G1795" s="143"/>
    </row>
    <row r="1796" spans="7:7" x14ac:dyDescent="0.2">
      <c r="G1796" s="143"/>
    </row>
    <row r="1797" spans="7:7" x14ac:dyDescent="0.2">
      <c r="G1797" s="143"/>
    </row>
    <row r="1798" spans="7:7" x14ac:dyDescent="0.2">
      <c r="G1798" s="143"/>
    </row>
    <row r="1799" spans="7:7" x14ac:dyDescent="0.2">
      <c r="G1799" s="143"/>
    </row>
    <row r="1800" spans="7:7" x14ac:dyDescent="0.2">
      <c r="G1800" s="143"/>
    </row>
    <row r="1801" spans="7:7" x14ac:dyDescent="0.2">
      <c r="G1801" s="143"/>
    </row>
    <row r="1802" spans="7:7" x14ac:dyDescent="0.2">
      <c r="G1802" s="143"/>
    </row>
    <row r="1803" spans="7:7" x14ac:dyDescent="0.2">
      <c r="G1803" s="143"/>
    </row>
    <row r="1804" spans="7:7" x14ac:dyDescent="0.2">
      <c r="G1804" s="143"/>
    </row>
    <row r="1805" spans="7:7" x14ac:dyDescent="0.2">
      <c r="G1805" s="143"/>
    </row>
    <row r="1806" spans="7:7" x14ac:dyDescent="0.2">
      <c r="G1806" s="143"/>
    </row>
    <row r="1807" spans="7:7" x14ac:dyDescent="0.2">
      <c r="G1807" s="143"/>
    </row>
    <row r="1808" spans="7:7" x14ac:dyDescent="0.2">
      <c r="G1808" s="143"/>
    </row>
    <row r="1809" spans="7:7" x14ac:dyDescent="0.2">
      <c r="G1809" s="143"/>
    </row>
    <row r="1810" spans="7:7" x14ac:dyDescent="0.2">
      <c r="G1810" s="143"/>
    </row>
    <row r="1811" spans="7:7" x14ac:dyDescent="0.2">
      <c r="G1811" s="143"/>
    </row>
    <row r="1812" spans="7:7" x14ac:dyDescent="0.2">
      <c r="G1812" s="143"/>
    </row>
    <row r="1813" spans="7:7" x14ac:dyDescent="0.2">
      <c r="G1813" s="143"/>
    </row>
    <row r="1814" spans="7:7" x14ac:dyDescent="0.2">
      <c r="G1814" s="143"/>
    </row>
    <row r="1815" spans="7:7" x14ac:dyDescent="0.2">
      <c r="G1815" s="143"/>
    </row>
    <row r="1816" spans="7:7" x14ac:dyDescent="0.2">
      <c r="G1816" s="143"/>
    </row>
    <row r="1817" spans="7:7" x14ac:dyDescent="0.2">
      <c r="G1817" s="143"/>
    </row>
    <row r="1818" spans="7:7" x14ac:dyDescent="0.2">
      <c r="G1818" s="143"/>
    </row>
    <row r="1819" spans="7:7" x14ac:dyDescent="0.2">
      <c r="G1819" s="143"/>
    </row>
    <row r="1820" spans="7:7" x14ac:dyDescent="0.2">
      <c r="G1820" s="143"/>
    </row>
    <row r="1821" spans="7:7" x14ac:dyDescent="0.2">
      <c r="G1821" s="143"/>
    </row>
    <row r="1822" spans="7:7" x14ac:dyDescent="0.2">
      <c r="G1822" s="143"/>
    </row>
    <row r="1823" spans="7:7" x14ac:dyDescent="0.2">
      <c r="G1823" s="143"/>
    </row>
    <row r="1824" spans="7:7" x14ac:dyDescent="0.2">
      <c r="G1824" s="143"/>
    </row>
    <row r="1825" spans="7:7" x14ac:dyDescent="0.2">
      <c r="G1825" s="143"/>
    </row>
    <row r="1826" spans="7:7" x14ac:dyDescent="0.2">
      <c r="G1826" s="143"/>
    </row>
    <row r="1827" spans="7:7" x14ac:dyDescent="0.2">
      <c r="G1827" s="143"/>
    </row>
    <row r="1828" spans="7:7" x14ac:dyDescent="0.2">
      <c r="G1828" s="143"/>
    </row>
    <row r="1829" spans="7:7" x14ac:dyDescent="0.2">
      <c r="G1829" s="143"/>
    </row>
    <row r="1830" spans="7:7" x14ac:dyDescent="0.2">
      <c r="G1830" s="143"/>
    </row>
    <row r="1831" spans="7:7" x14ac:dyDescent="0.2">
      <c r="G1831" s="143"/>
    </row>
    <row r="1832" spans="7:7" x14ac:dyDescent="0.2">
      <c r="G1832" s="143"/>
    </row>
    <row r="1833" spans="7:7" x14ac:dyDescent="0.2">
      <c r="G1833" s="143"/>
    </row>
    <row r="1834" spans="7:7" x14ac:dyDescent="0.2">
      <c r="G1834" s="143"/>
    </row>
    <row r="1835" spans="7:7" x14ac:dyDescent="0.2">
      <c r="G1835" s="143"/>
    </row>
    <row r="1836" spans="7:7" x14ac:dyDescent="0.2">
      <c r="G1836" s="143"/>
    </row>
    <row r="1837" spans="7:7" x14ac:dyDescent="0.2">
      <c r="G1837" s="143"/>
    </row>
    <row r="1838" spans="7:7" x14ac:dyDescent="0.2">
      <c r="G1838" s="143"/>
    </row>
    <row r="1839" spans="7:7" x14ac:dyDescent="0.2">
      <c r="G1839" s="143"/>
    </row>
    <row r="1840" spans="7:7" x14ac:dyDescent="0.2">
      <c r="G1840" s="143"/>
    </row>
    <row r="1841" spans="7:7" x14ac:dyDescent="0.2">
      <c r="G1841" s="143"/>
    </row>
    <row r="1842" spans="7:7" x14ac:dyDescent="0.2">
      <c r="G1842" s="143"/>
    </row>
    <row r="1843" spans="7:7" x14ac:dyDescent="0.2">
      <c r="G1843" s="143"/>
    </row>
    <row r="1844" spans="7:7" x14ac:dyDescent="0.2">
      <c r="G1844" s="143"/>
    </row>
    <row r="1845" spans="7:7" x14ac:dyDescent="0.2">
      <c r="G1845" s="143"/>
    </row>
    <row r="1846" spans="7:7" x14ac:dyDescent="0.2">
      <c r="G1846" s="143"/>
    </row>
    <row r="1847" spans="7:7" x14ac:dyDescent="0.2">
      <c r="G1847" s="143"/>
    </row>
    <row r="1848" spans="7:7" x14ac:dyDescent="0.2">
      <c r="G1848" s="143"/>
    </row>
    <row r="1849" spans="7:7" x14ac:dyDescent="0.2">
      <c r="G1849" s="143"/>
    </row>
    <row r="1850" spans="7:7" x14ac:dyDescent="0.2">
      <c r="G1850" s="143"/>
    </row>
    <row r="1851" spans="7:7" x14ac:dyDescent="0.2">
      <c r="G1851" s="143"/>
    </row>
    <row r="1852" spans="7:7" x14ac:dyDescent="0.2">
      <c r="G1852" s="143"/>
    </row>
    <row r="1853" spans="7:7" x14ac:dyDescent="0.2">
      <c r="G1853" s="143"/>
    </row>
    <row r="1854" spans="7:7" x14ac:dyDescent="0.2">
      <c r="G1854" s="143"/>
    </row>
    <row r="1855" spans="7:7" x14ac:dyDescent="0.2">
      <c r="G1855" s="143"/>
    </row>
    <row r="1856" spans="7:7" x14ac:dyDescent="0.2">
      <c r="G1856" s="143"/>
    </row>
    <row r="1857" spans="7:7" x14ac:dyDescent="0.2">
      <c r="G1857" s="143"/>
    </row>
    <row r="1858" spans="7:7" x14ac:dyDescent="0.2">
      <c r="G1858" s="143"/>
    </row>
    <row r="1859" spans="7:7" x14ac:dyDescent="0.2">
      <c r="G1859" s="143"/>
    </row>
    <row r="1860" spans="7:7" x14ac:dyDescent="0.2">
      <c r="G1860" s="143"/>
    </row>
    <row r="1861" spans="7:7" x14ac:dyDescent="0.2">
      <c r="G1861" s="143"/>
    </row>
    <row r="1862" spans="7:7" x14ac:dyDescent="0.2">
      <c r="G1862" s="143"/>
    </row>
    <row r="1863" spans="7:7" x14ac:dyDescent="0.2">
      <c r="G1863" s="143"/>
    </row>
    <row r="1864" spans="7:7" x14ac:dyDescent="0.2">
      <c r="G1864" s="143"/>
    </row>
    <row r="1865" spans="7:7" x14ac:dyDescent="0.2">
      <c r="G1865" s="143"/>
    </row>
    <row r="1866" spans="7:7" x14ac:dyDescent="0.2">
      <c r="G1866" s="143"/>
    </row>
    <row r="1867" spans="7:7" x14ac:dyDescent="0.2">
      <c r="G1867" s="143"/>
    </row>
    <row r="1868" spans="7:7" x14ac:dyDescent="0.2">
      <c r="G1868" s="143"/>
    </row>
    <row r="1869" spans="7:7" x14ac:dyDescent="0.2">
      <c r="G1869" s="143"/>
    </row>
    <row r="1870" spans="7:7" x14ac:dyDescent="0.2">
      <c r="G1870" s="143"/>
    </row>
    <row r="1871" spans="7:7" x14ac:dyDescent="0.2">
      <c r="G1871" s="143"/>
    </row>
    <row r="1872" spans="7:7" x14ac:dyDescent="0.2">
      <c r="G1872" s="143"/>
    </row>
    <row r="1873" spans="7:7" x14ac:dyDescent="0.2">
      <c r="G1873" s="143"/>
    </row>
    <row r="1874" spans="7:7" x14ac:dyDescent="0.2">
      <c r="G1874" s="143"/>
    </row>
    <row r="1875" spans="7:7" x14ac:dyDescent="0.2">
      <c r="G1875" s="143"/>
    </row>
    <row r="1876" spans="7:7" x14ac:dyDescent="0.2">
      <c r="G1876" s="143"/>
    </row>
    <row r="1877" spans="7:7" x14ac:dyDescent="0.2">
      <c r="G1877" s="143"/>
    </row>
    <row r="1878" spans="7:7" x14ac:dyDescent="0.2">
      <c r="G1878" s="143"/>
    </row>
    <row r="1879" spans="7:7" x14ac:dyDescent="0.2">
      <c r="G1879" s="143"/>
    </row>
    <row r="1880" spans="7:7" x14ac:dyDescent="0.2">
      <c r="G1880" s="143"/>
    </row>
    <row r="1881" spans="7:7" x14ac:dyDescent="0.2">
      <c r="G1881" s="143"/>
    </row>
    <row r="1882" spans="7:7" x14ac:dyDescent="0.2">
      <c r="G1882" s="143"/>
    </row>
    <row r="1883" spans="7:7" x14ac:dyDescent="0.2">
      <c r="G1883" s="143"/>
    </row>
    <row r="1884" spans="7:7" x14ac:dyDescent="0.2">
      <c r="G1884" s="143"/>
    </row>
    <row r="1885" spans="7:7" x14ac:dyDescent="0.2">
      <c r="G1885" s="143"/>
    </row>
    <row r="1886" spans="7:7" x14ac:dyDescent="0.2">
      <c r="G1886" s="143"/>
    </row>
    <row r="1887" spans="7:7" x14ac:dyDescent="0.2">
      <c r="G1887" s="143"/>
    </row>
    <row r="1888" spans="7:7" x14ac:dyDescent="0.2">
      <c r="G1888" s="143"/>
    </row>
    <row r="1889" spans="7:7" x14ac:dyDescent="0.2">
      <c r="G1889" s="143"/>
    </row>
    <row r="1890" spans="7:7" x14ac:dyDescent="0.2">
      <c r="G1890" s="143"/>
    </row>
    <row r="1891" spans="7:7" x14ac:dyDescent="0.2">
      <c r="G1891" s="143"/>
    </row>
    <row r="1892" spans="7:7" x14ac:dyDescent="0.2">
      <c r="G1892" s="143"/>
    </row>
    <row r="1893" spans="7:7" x14ac:dyDescent="0.2">
      <c r="G1893" s="143"/>
    </row>
    <row r="1894" spans="7:7" x14ac:dyDescent="0.2">
      <c r="G1894" s="143"/>
    </row>
    <row r="1895" spans="7:7" x14ac:dyDescent="0.2">
      <c r="G1895" s="143"/>
    </row>
    <row r="1896" spans="7:7" x14ac:dyDescent="0.2">
      <c r="G1896" s="143"/>
    </row>
    <row r="1897" spans="7:7" x14ac:dyDescent="0.2">
      <c r="G1897" s="143"/>
    </row>
    <row r="1898" spans="7:7" x14ac:dyDescent="0.2">
      <c r="G1898" s="143"/>
    </row>
    <row r="1899" spans="7:7" x14ac:dyDescent="0.2">
      <c r="G1899" s="143"/>
    </row>
    <row r="1900" spans="7:7" x14ac:dyDescent="0.2">
      <c r="G1900" s="143"/>
    </row>
    <row r="1901" spans="7:7" x14ac:dyDescent="0.2">
      <c r="G1901" s="143"/>
    </row>
    <row r="1902" spans="7:7" x14ac:dyDescent="0.2">
      <c r="G1902" s="143"/>
    </row>
    <row r="1903" spans="7:7" x14ac:dyDescent="0.2">
      <c r="G1903" s="143"/>
    </row>
    <row r="1904" spans="7:7" x14ac:dyDescent="0.2">
      <c r="G1904" s="143"/>
    </row>
    <row r="1905" spans="7:7" x14ac:dyDescent="0.2">
      <c r="G1905" s="143"/>
    </row>
    <row r="1906" spans="7:7" x14ac:dyDescent="0.2">
      <c r="G1906" s="143"/>
    </row>
    <row r="1907" spans="7:7" x14ac:dyDescent="0.2">
      <c r="G1907" s="143"/>
    </row>
    <row r="1908" spans="7:7" x14ac:dyDescent="0.2">
      <c r="G1908" s="143"/>
    </row>
    <row r="1909" spans="7:7" x14ac:dyDescent="0.2">
      <c r="G1909" s="143"/>
    </row>
    <row r="1910" spans="7:7" x14ac:dyDescent="0.2">
      <c r="G1910" s="143"/>
    </row>
    <row r="1911" spans="7:7" x14ac:dyDescent="0.2">
      <c r="G1911" s="143"/>
    </row>
    <row r="1912" spans="7:7" x14ac:dyDescent="0.2">
      <c r="G1912" s="143"/>
    </row>
    <row r="1913" spans="7:7" x14ac:dyDescent="0.2">
      <c r="G1913" s="143"/>
    </row>
    <row r="1914" spans="7:7" x14ac:dyDescent="0.2">
      <c r="G1914" s="143"/>
    </row>
    <row r="1915" spans="7:7" x14ac:dyDescent="0.2">
      <c r="G1915" s="143"/>
    </row>
    <row r="1916" spans="7:7" x14ac:dyDescent="0.2">
      <c r="G1916" s="143"/>
    </row>
    <row r="1917" spans="7:7" x14ac:dyDescent="0.2">
      <c r="G1917" s="143"/>
    </row>
    <row r="1918" spans="7:7" x14ac:dyDescent="0.2">
      <c r="G1918" s="143"/>
    </row>
    <row r="1919" spans="7:7" x14ac:dyDescent="0.2">
      <c r="G1919" s="143"/>
    </row>
    <row r="1920" spans="7:7" x14ac:dyDescent="0.2">
      <c r="G1920" s="143"/>
    </row>
    <row r="1921" spans="7:7" x14ac:dyDescent="0.2">
      <c r="G1921" s="143"/>
    </row>
    <row r="1922" spans="7:7" x14ac:dyDescent="0.2">
      <c r="G1922" s="143"/>
    </row>
    <row r="1923" spans="7:7" x14ac:dyDescent="0.2">
      <c r="G1923" s="143"/>
    </row>
    <row r="1924" spans="7:7" x14ac:dyDescent="0.2">
      <c r="G1924" s="143"/>
    </row>
    <row r="1925" spans="7:7" x14ac:dyDescent="0.2">
      <c r="G1925" s="143"/>
    </row>
    <row r="1926" spans="7:7" x14ac:dyDescent="0.2">
      <c r="G1926" s="143"/>
    </row>
    <row r="1927" spans="7:7" x14ac:dyDescent="0.2">
      <c r="G1927" s="143"/>
    </row>
    <row r="1928" spans="7:7" x14ac:dyDescent="0.2">
      <c r="G1928" s="143"/>
    </row>
    <row r="1929" spans="7:7" x14ac:dyDescent="0.2">
      <c r="G1929" s="143"/>
    </row>
    <row r="1930" spans="7:7" x14ac:dyDescent="0.2">
      <c r="G1930" s="143"/>
    </row>
    <row r="1931" spans="7:7" x14ac:dyDescent="0.2">
      <c r="G1931" s="143"/>
    </row>
    <row r="1932" spans="7:7" x14ac:dyDescent="0.2">
      <c r="G1932" s="143"/>
    </row>
    <row r="1933" spans="7:7" x14ac:dyDescent="0.2">
      <c r="G1933" s="143"/>
    </row>
    <row r="1934" spans="7:7" x14ac:dyDescent="0.2">
      <c r="G1934" s="143"/>
    </row>
    <row r="1935" spans="7:7" x14ac:dyDescent="0.2">
      <c r="G1935" s="143"/>
    </row>
    <row r="1936" spans="7:7" x14ac:dyDescent="0.2">
      <c r="G1936" s="143"/>
    </row>
    <row r="1937" spans="7:7" x14ac:dyDescent="0.2">
      <c r="G1937" s="143"/>
    </row>
    <row r="1938" spans="7:7" x14ac:dyDescent="0.2">
      <c r="G1938" s="143"/>
    </row>
    <row r="1939" spans="7:7" x14ac:dyDescent="0.2">
      <c r="G1939" s="143"/>
    </row>
    <row r="1940" spans="7:7" x14ac:dyDescent="0.2">
      <c r="G1940" s="143"/>
    </row>
    <row r="1941" spans="7:7" x14ac:dyDescent="0.2">
      <c r="G1941" s="143"/>
    </row>
    <row r="1942" spans="7:7" x14ac:dyDescent="0.2">
      <c r="G1942" s="143"/>
    </row>
    <row r="1943" spans="7:7" x14ac:dyDescent="0.2">
      <c r="G1943" s="143"/>
    </row>
    <row r="1944" spans="7:7" x14ac:dyDescent="0.2">
      <c r="G1944" s="143"/>
    </row>
    <row r="1945" spans="7:7" x14ac:dyDescent="0.2">
      <c r="G1945" s="143"/>
    </row>
    <row r="1946" spans="7:7" x14ac:dyDescent="0.2">
      <c r="G1946" s="143"/>
    </row>
    <row r="1947" spans="7:7" x14ac:dyDescent="0.2">
      <c r="G1947" s="143"/>
    </row>
    <row r="1948" spans="7:7" x14ac:dyDescent="0.2">
      <c r="G1948" s="143"/>
    </row>
    <row r="1949" spans="7:7" x14ac:dyDescent="0.2">
      <c r="G1949" s="143"/>
    </row>
    <row r="1950" spans="7:7" x14ac:dyDescent="0.2">
      <c r="G1950" s="143"/>
    </row>
    <row r="1951" spans="7:7" x14ac:dyDescent="0.2">
      <c r="G1951" s="143"/>
    </row>
    <row r="1952" spans="7:7" x14ac:dyDescent="0.2">
      <c r="G1952" s="143"/>
    </row>
    <row r="1953" spans="7:7" x14ac:dyDescent="0.2">
      <c r="G1953" s="143"/>
    </row>
    <row r="1954" spans="7:7" x14ac:dyDescent="0.2">
      <c r="G1954" s="143"/>
    </row>
    <row r="1955" spans="7:7" x14ac:dyDescent="0.2">
      <c r="G1955" s="143"/>
    </row>
    <row r="1956" spans="7:7" x14ac:dyDescent="0.2">
      <c r="G1956" s="143"/>
    </row>
    <row r="1957" spans="7:7" x14ac:dyDescent="0.2">
      <c r="G1957" s="143"/>
    </row>
    <row r="1958" spans="7:7" x14ac:dyDescent="0.2">
      <c r="G1958" s="143"/>
    </row>
    <row r="1959" spans="7:7" x14ac:dyDescent="0.2">
      <c r="G1959" s="143"/>
    </row>
    <row r="1960" spans="7:7" x14ac:dyDescent="0.2">
      <c r="G1960" s="143"/>
    </row>
    <row r="1961" spans="7:7" x14ac:dyDescent="0.2">
      <c r="G1961" s="143"/>
    </row>
    <row r="1962" spans="7:7" x14ac:dyDescent="0.2">
      <c r="G1962" s="143"/>
    </row>
    <row r="1963" spans="7:7" x14ac:dyDescent="0.2">
      <c r="G1963" s="143"/>
    </row>
    <row r="1964" spans="7:7" x14ac:dyDescent="0.2">
      <c r="G1964" s="143"/>
    </row>
    <row r="1965" spans="7:7" x14ac:dyDescent="0.2">
      <c r="G1965" s="143"/>
    </row>
    <row r="1966" spans="7:7" x14ac:dyDescent="0.2">
      <c r="G1966" s="143"/>
    </row>
    <row r="1967" spans="7:7" x14ac:dyDescent="0.2">
      <c r="G1967" s="143"/>
    </row>
    <row r="1968" spans="7:7" x14ac:dyDescent="0.2">
      <c r="G1968" s="143"/>
    </row>
    <row r="1969" spans="7:7" x14ac:dyDescent="0.2">
      <c r="G1969" s="143"/>
    </row>
    <row r="1970" spans="7:7" x14ac:dyDescent="0.2">
      <c r="G1970" s="143"/>
    </row>
    <row r="1971" spans="7:7" x14ac:dyDescent="0.2">
      <c r="G1971" s="143"/>
    </row>
    <row r="1972" spans="7:7" x14ac:dyDescent="0.2">
      <c r="G1972" s="143"/>
    </row>
    <row r="1973" spans="7:7" x14ac:dyDescent="0.2">
      <c r="G1973" s="143"/>
    </row>
    <row r="1974" spans="7:7" x14ac:dyDescent="0.2">
      <c r="G1974" s="143"/>
    </row>
    <row r="1975" spans="7:7" x14ac:dyDescent="0.2">
      <c r="G1975" s="143"/>
    </row>
    <row r="1976" spans="7:7" x14ac:dyDescent="0.2">
      <c r="G1976" s="143"/>
    </row>
    <row r="1977" spans="7:7" x14ac:dyDescent="0.2">
      <c r="G1977" s="143"/>
    </row>
    <row r="1978" spans="7:7" x14ac:dyDescent="0.2">
      <c r="G1978" s="143"/>
    </row>
    <row r="1979" spans="7:7" x14ac:dyDescent="0.2">
      <c r="G1979" s="143"/>
    </row>
    <row r="1980" spans="7:7" x14ac:dyDescent="0.2">
      <c r="G1980" s="143"/>
    </row>
    <row r="1981" spans="7:7" x14ac:dyDescent="0.2">
      <c r="G1981" s="143"/>
    </row>
    <row r="1982" spans="7:7" x14ac:dyDescent="0.2">
      <c r="G1982" s="143"/>
    </row>
    <row r="1983" spans="7:7" x14ac:dyDescent="0.2">
      <c r="G1983" s="143"/>
    </row>
    <row r="1984" spans="7:7" x14ac:dyDescent="0.2">
      <c r="G1984" s="143"/>
    </row>
    <row r="1985" spans="7:7" x14ac:dyDescent="0.2">
      <c r="G1985" s="143"/>
    </row>
    <row r="1986" spans="7:7" x14ac:dyDescent="0.2">
      <c r="G1986" s="143"/>
    </row>
    <row r="1987" spans="7:7" x14ac:dyDescent="0.2">
      <c r="G1987" s="143"/>
    </row>
    <row r="1988" spans="7:7" x14ac:dyDescent="0.2">
      <c r="G1988" s="143"/>
    </row>
    <row r="1989" spans="7:7" x14ac:dyDescent="0.2">
      <c r="G1989" s="143"/>
    </row>
    <row r="1990" spans="7:7" x14ac:dyDescent="0.2">
      <c r="G1990" s="143"/>
    </row>
    <row r="1991" spans="7:7" x14ac:dyDescent="0.2">
      <c r="G1991" s="143"/>
    </row>
    <row r="1992" spans="7:7" x14ac:dyDescent="0.2">
      <c r="G1992" s="143"/>
    </row>
    <row r="1993" spans="7:7" x14ac:dyDescent="0.2">
      <c r="G1993" s="143"/>
    </row>
    <row r="1994" spans="7:7" x14ac:dyDescent="0.2">
      <c r="G1994" s="143"/>
    </row>
    <row r="1995" spans="7:7" x14ac:dyDescent="0.2">
      <c r="G1995" s="143"/>
    </row>
    <row r="1996" spans="7:7" x14ac:dyDescent="0.2">
      <c r="G1996" s="143"/>
    </row>
    <row r="1997" spans="7:7" x14ac:dyDescent="0.2">
      <c r="G1997" s="143"/>
    </row>
    <row r="1998" spans="7:7" x14ac:dyDescent="0.2">
      <c r="G1998" s="143"/>
    </row>
    <row r="1999" spans="7:7" x14ac:dyDescent="0.2">
      <c r="G1999" s="143"/>
    </row>
    <row r="2000" spans="7:7" x14ac:dyDescent="0.2">
      <c r="G2000" s="143"/>
    </row>
    <row r="2001" spans="7:7" x14ac:dyDescent="0.2">
      <c r="G2001" s="143"/>
    </row>
    <row r="2002" spans="7:7" x14ac:dyDescent="0.2">
      <c r="G2002" s="143"/>
    </row>
    <row r="2003" spans="7:7" x14ac:dyDescent="0.2">
      <c r="G2003" s="143"/>
    </row>
    <row r="2004" spans="7:7" x14ac:dyDescent="0.2">
      <c r="G2004" s="143"/>
    </row>
    <row r="2005" spans="7:7" x14ac:dyDescent="0.2">
      <c r="G2005" s="143"/>
    </row>
    <row r="2006" spans="7:7" x14ac:dyDescent="0.2">
      <c r="G2006" s="143"/>
    </row>
    <row r="2007" spans="7:7" x14ac:dyDescent="0.2">
      <c r="G2007" s="143"/>
    </row>
    <row r="2008" spans="7:7" x14ac:dyDescent="0.2">
      <c r="G2008" s="143"/>
    </row>
    <row r="2009" spans="7:7" x14ac:dyDescent="0.2">
      <c r="G2009" s="143"/>
    </row>
    <row r="2010" spans="7:7" x14ac:dyDescent="0.2">
      <c r="G2010" s="143"/>
    </row>
    <row r="2011" spans="7:7" x14ac:dyDescent="0.2">
      <c r="G2011" s="143"/>
    </row>
    <row r="2012" spans="7:7" x14ac:dyDescent="0.2">
      <c r="G2012" s="143"/>
    </row>
    <row r="2013" spans="7:7" x14ac:dyDescent="0.2">
      <c r="G2013" s="143"/>
    </row>
    <row r="2014" spans="7:7" x14ac:dyDescent="0.2">
      <c r="G2014" s="143"/>
    </row>
    <row r="2015" spans="7:7" x14ac:dyDescent="0.2">
      <c r="G2015" s="143"/>
    </row>
    <row r="2016" spans="7:7" x14ac:dyDescent="0.2">
      <c r="G2016" s="143"/>
    </row>
    <row r="2017" spans="7:7" x14ac:dyDescent="0.2">
      <c r="G2017" s="143"/>
    </row>
    <row r="2018" spans="7:7" x14ac:dyDescent="0.2">
      <c r="G2018" s="143"/>
    </row>
    <row r="2019" spans="7:7" x14ac:dyDescent="0.2">
      <c r="G2019" s="143"/>
    </row>
    <row r="2020" spans="7:7" x14ac:dyDescent="0.2">
      <c r="G2020" s="143"/>
    </row>
    <row r="2021" spans="7:7" x14ac:dyDescent="0.2">
      <c r="G2021" s="143"/>
    </row>
    <row r="2022" spans="7:7" x14ac:dyDescent="0.2">
      <c r="G2022" s="143"/>
    </row>
    <row r="2023" spans="7:7" x14ac:dyDescent="0.2">
      <c r="G2023" s="143"/>
    </row>
    <row r="2024" spans="7:7" x14ac:dyDescent="0.2">
      <c r="G2024" s="143"/>
    </row>
    <row r="2025" spans="7:7" x14ac:dyDescent="0.2">
      <c r="G2025" s="143"/>
    </row>
    <row r="2026" spans="7:7" x14ac:dyDescent="0.2">
      <c r="G2026" s="143"/>
    </row>
    <row r="2027" spans="7:7" x14ac:dyDescent="0.2">
      <c r="G2027" s="143"/>
    </row>
    <row r="2028" spans="7:7" x14ac:dyDescent="0.2">
      <c r="G2028" s="143"/>
    </row>
    <row r="2029" spans="7:7" x14ac:dyDescent="0.2">
      <c r="G2029" s="143"/>
    </row>
    <row r="2030" spans="7:7" x14ac:dyDescent="0.2">
      <c r="G2030" s="143"/>
    </row>
    <row r="2031" spans="7:7" x14ac:dyDescent="0.2">
      <c r="G2031" s="143"/>
    </row>
    <row r="2032" spans="7:7" x14ac:dyDescent="0.2">
      <c r="G2032" s="143"/>
    </row>
    <row r="2033" spans="7:7" x14ac:dyDescent="0.2">
      <c r="G2033" s="143"/>
    </row>
    <row r="2034" spans="7:7" x14ac:dyDescent="0.2">
      <c r="G2034" s="143"/>
    </row>
    <row r="2035" spans="7:7" x14ac:dyDescent="0.2">
      <c r="G2035" s="143"/>
    </row>
    <row r="2036" spans="7:7" x14ac:dyDescent="0.2">
      <c r="G2036" s="143"/>
    </row>
    <row r="2037" spans="7:7" x14ac:dyDescent="0.2">
      <c r="G2037" s="143"/>
    </row>
    <row r="2038" spans="7:7" x14ac:dyDescent="0.2">
      <c r="G2038" s="143"/>
    </row>
    <row r="2039" spans="7:7" x14ac:dyDescent="0.2">
      <c r="G2039" s="143"/>
    </row>
    <row r="2040" spans="7:7" x14ac:dyDescent="0.2">
      <c r="G2040" s="143"/>
    </row>
    <row r="2041" spans="7:7" x14ac:dyDescent="0.2">
      <c r="G2041" s="143"/>
    </row>
    <row r="2042" spans="7:7" x14ac:dyDescent="0.2">
      <c r="G2042" s="143"/>
    </row>
    <row r="2043" spans="7:7" x14ac:dyDescent="0.2">
      <c r="G2043" s="143"/>
    </row>
    <row r="2044" spans="7:7" x14ac:dyDescent="0.2">
      <c r="G2044" s="143"/>
    </row>
    <row r="2045" spans="7:7" x14ac:dyDescent="0.2">
      <c r="G2045" s="143"/>
    </row>
    <row r="2046" spans="7:7" x14ac:dyDescent="0.2">
      <c r="G2046" s="143"/>
    </row>
    <row r="2047" spans="7:7" x14ac:dyDescent="0.2">
      <c r="G2047" s="143"/>
    </row>
    <row r="2048" spans="7:7" x14ac:dyDescent="0.2">
      <c r="G2048" s="143"/>
    </row>
    <row r="2049" spans="7:7" x14ac:dyDescent="0.2">
      <c r="G2049" s="143"/>
    </row>
    <row r="2050" spans="7:7" x14ac:dyDescent="0.2">
      <c r="G2050" s="143"/>
    </row>
    <row r="2051" spans="7:7" x14ac:dyDescent="0.2">
      <c r="G2051" s="143"/>
    </row>
    <row r="2052" spans="7:7" x14ac:dyDescent="0.2">
      <c r="G2052" s="143"/>
    </row>
    <row r="2053" spans="7:7" x14ac:dyDescent="0.2">
      <c r="G2053" s="143"/>
    </row>
    <row r="2054" spans="7:7" x14ac:dyDescent="0.2">
      <c r="G2054" s="143"/>
    </row>
    <row r="2055" spans="7:7" x14ac:dyDescent="0.2">
      <c r="G2055" s="143"/>
    </row>
    <row r="2056" spans="7:7" x14ac:dyDescent="0.2">
      <c r="G2056" s="143"/>
    </row>
    <row r="2057" spans="7:7" x14ac:dyDescent="0.2">
      <c r="G2057" s="143"/>
    </row>
    <row r="2058" spans="7:7" x14ac:dyDescent="0.2">
      <c r="G2058" s="143"/>
    </row>
    <row r="2059" spans="7:7" x14ac:dyDescent="0.2">
      <c r="G2059" s="143"/>
    </row>
    <row r="2060" spans="7:7" x14ac:dyDescent="0.2">
      <c r="G2060" s="143"/>
    </row>
    <row r="2061" spans="7:7" x14ac:dyDescent="0.2">
      <c r="G2061" s="143"/>
    </row>
    <row r="2062" spans="7:7" x14ac:dyDescent="0.2">
      <c r="G2062" s="143"/>
    </row>
    <row r="2063" spans="7:7" x14ac:dyDescent="0.2">
      <c r="G2063" s="143"/>
    </row>
    <row r="2064" spans="7:7" x14ac:dyDescent="0.2">
      <c r="G2064" s="143"/>
    </row>
    <row r="2065" spans="7:7" x14ac:dyDescent="0.2">
      <c r="G2065" s="143"/>
    </row>
    <row r="2066" spans="7:7" x14ac:dyDescent="0.2">
      <c r="G2066" s="143"/>
    </row>
    <row r="2067" spans="7:7" x14ac:dyDescent="0.2">
      <c r="G2067" s="143"/>
    </row>
    <row r="2068" spans="7:7" x14ac:dyDescent="0.2">
      <c r="G2068" s="143"/>
    </row>
    <row r="2069" spans="7:7" x14ac:dyDescent="0.2">
      <c r="G2069" s="143"/>
    </row>
    <row r="2070" spans="7:7" x14ac:dyDescent="0.2">
      <c r="G2070" s="143"/>
    </row>
    <row r="2071" spans="7:7" x14ac:dyDescent="0.2">
      <c r="G2071" s="143"/>
    </row>
    <row r="2072" spans="7:7" x14ac:dyDescent="0.2">
      <c r="G2072" s="143"/>
    </row>
    <row r="2073" spans="7:7" x14ac:dyDescent="0.2">
      <c r="G2073" s="143"/>
    </row>
    <row r="2074" spans="7:7" x14ac:dyDescent="0.2">
      <c r="G2074" s="143"/>
    </row>
    <row r="2075" spans="7:7" x14ac:dyDescent="0.2">
      <c r="G2075" s="143"/>
    </row>
    <row r="2076" spans="7:7" x14ac:dyDescent="0.2">
      <c r="G2076" s="143"/>
    </row>
    <row r="2077" spans="7:7" x14ac:dyDescent="0.2">
      <c r="G2077" s="143"/>
    </row>
    <row r="2078" spans="7:7" x14ac:dyDescent="0.2">
      <c r="G2078" s="143"/>
    </row>
    <row r="2079" spans="7:7" x14ac:dyDescent="0.2">
      <c r="G2079" s="143"/>
    </row>
    <row r="2080" spans="7:7" x14ac:dyDescent="0.2">
      <c r="G2080" s="143"/>
    </row>
    <row r="2081" spans="7:7" x14ac:dyDescent="0.2">
      <c r="G2081" s="143"/>
    </row>
    <row r="2082" spans="7:7" x14ac:dyDescent="0.2">
      <c r="G2082" s="143"/>
    </row>
    <row r="2083" spans="7:7" x14ac:dyDescent="0.2">
      <c r="G2083" s="143"/>
    </row>
    <row r="2084" spans="7:7" x14ac:dyDescent="0.2">
      <c r="G2084" s="143"/>
    </row>
    <row r="2085" spans="7:7" x14ac:dyDescent="0.2">
      <c r="G2085" s="143"/>
    </row>
    <row r="2086" spans="7:7" x14ac:dyDescent="0.2">
      <c r="G2086" s="143"/>
    </row>
    <row r="2087" spans="7:7" x14ac:dyDescent="0.2">
      <c r="G2087" s="143"/>
    </row>
    <row r="2088" spans="7:7" x14ac:dyDescent="0.2">
      <c r="G2088" s="143"/>
    </row>
    <row r="2089" spans="7:7" x14ac:dyDescent="0.2">
      <c r="G2089" s="143"/>
    </row>
    <row r="2090" spans="7:7" x14ac:dyDescent="0.2">
      <c r="G2090" s="143"/>
    </row>
    <row r="2091" spans="7:7" x14ac:dyDescent="0.2">
      <c r="G2091" s="143"/>
    </row>
    <row r="2092" spans="7:7" x14ac:dyDescent="0.2">
      <c r="G2092" s="143"/>
    </row>
    <row r="2093" spans="7:7" x14ac:dyDescent="0.2">
      <c r="G2093" s="143"/>
    </row>
    <row r="2094" spans="7:7" x14ac:dyDescent="0.2">
      <c r="G2094" s="143"/>
    </row>
    <row r="2095" spans="7:7" x14ac:dyDescent="0.2">
      <c r="G2095" s="143"/>
    </row>
    <row r="2096" spans="7:7" x14ac:dyDescent="0.2">
      <c r="G2096" s="143"/>
    </row>
    <row r="2097" spans="7:7" x14ac:dyDescent="0.2">
      <c r="G2097" s="143"/>
    </row>
    <row r="2098" spans="7:7" x14ac:dyDescent="0.2">
      <c r="G2098" s="143"/>
    </row>
    <row r="2099" spans="7:7" x14ac:dyDescent="0.2">
      <c r="G2099" s="143"/>
    </row>
    <row r="2100" spans="7:7" x14ac:dyDescent="0.2">
      <c r="G2100" s="143"/>
    </row>
    <row r="2101" spans="7:7" x14ac:dyDescent="0.2">
      <c r="G2101" s="143"/>
    </row>
    <row r="2102" spans="7:7" x14ac:dyDescent="0.2">
      <c r="G2102" s="143"/>
    </row>
    <row r="2103" spans="7:7" x14ac:dyDescent="0.2">
      <c r="G2103" s="143"/>
    </row>
    <row r="2104" spans="7:7" x14ac:dyDescent="0.2">
      <c r="G2104" s="143"/>
    </row>
    <row r="2105" spans="7:7" x14ac:dyDescent="0.2">
      <c r="G2105" s="143"/>
    </row>
    <row r="2106" spans="7:7" x14ac:dyDescent="0.2">
      <c r="G2106" s="143"/>
    </row>
    <row r="2107" spans="7:7" x14ac:dyDescent="0.2">
      <c r="G2107" s="143"/>
    </row>
    <row r="2108" spans="7:7" x14ac:dyDescent="0.2">
      <c r="G2108" s="143"/>
    </row>
    <row r="2109" spans="7:7" x14ac:dyDescent="0.2">
      <c r="G2109" s="143"/>
    </row>
    <row r="2110" spans="7:7" x14ac:dyDescent="0.2">
      <c r="G2110" s="143"/>
    </row>
    <row r="2111" spans="7:7" x14ac:dyDescent="0.2">
      <c r="G2111" s="143"/>
    </row>
    <row r="2112" spans="7:7" x14ac:dyDescent="0.2">
      <c r="G2112" s="143"/>
    </row>
    <row r="2113" spans="7:7" x14ac:dyDescent="0.2">
      <c r="G2113" s="143"/>
    </row>
    <row r="2114" spans="7:7" x14ac:dyDescent="0.2">
      <c r="G2114" s="143"/>
    </row>
    <row r="2115" spans="7:7" x14ac:dyDescent="0.2">
      <c r="G2115" s="143"/>
    </row>
    <row r="2116" spans="7:7" x14ac:dyDescent="0.2">
      <c r="G2116" s="143"/>
    </row>
    <row r="2117" spans="7:7" x14ac:dyDescent="0.2">
      <c r="G2117" s="143"/>
    </row>
    <row r="2118" spans="7:7" x14ac:dyDescent="0.2">
      <c r="G2118" s="143"/>
    </row>
    <row r="2119" spans="7:7" x14ac:dyDescent="0.2">
      <c r="G2119" s="143"/>
    </row>
    <row r="2120" spans="7:7" x14ac:dyDescent="0.2">
      <c r="G2120" s="143"/>
    </row>
    <row r="2121" spans="7:7" x14ac:dyDescent="0.2">
      <c r="G2121" s="143"/>
    </row>
    <row r="2122" spans="7:7" x14ac:dyDescent="0.2">
      <c r="G2122" s="143"/>
    </row>
    <row r="2123" spans="7:7" x14ac:dyDescent="0.2">
      <c r="G2123" s="143"/>
    </row>
    <row r="2124" spans="7:7" x14ac:dyDescent="0.2">
      <c r="G2124" s="143"/>
    </row>
    <row r="2125" spans="7:7" x14ac:dyDescent="0.2">
      <c r="G2125" s="143"/>
    </row>
    <row r="2126" spans="7:7" x14ac:dyDescent="0.2">
      <c r="G2126" s="143"/>
    </row>
    <row r="2127" spans="7:7" x14ac:dyDescent="0.2">
      <c r="G2127" s="143"/>
    </row>
    <row r="2128" spans="7:7" x14ac:dyDescent="0.2">
      <c r="G2128" s="143"/>
    </row>
    <row r="2129" spans="7:7" x14ac:dyDescent="0.2">
      <c r="G2129" s="143"/>
    </row>
    <row r="2130" spans="7:7" x14ac:dyDescent="0.2">
      <c r="G2130" s="143"/>
    </row>
    <row r="2131" spans="7:7" x14ac:dyDescent="0.2">
      <c r="G2131" s="143"/>
    </row>
    <row r="2132" spans="7:7" x14ac:dyDescent="0.2">
      <c r="G2132" s="143"/>
    </row>
    <row r="2133" spans="7:7" x14ac:dyDescent="0.2">
      <c r="G2133" s="143"/>
    </row>
    <row r="2134" spans="7:7" x14ac:dyDescent="0.2">
      <c r="G2134" s="143"/>
    </row>
    <row r="2135" spans="7:7" x14ac:dyDescent="0.2">
      <c r="G2135" s="143"/>
    </row>
    <row r="2136" spans="7:7" x14ac:dyDescent="0.2">
      <c r="G2136" s="143"/>
    </row>
    <row r="2137" spans="7:7" x14ac:dyDescent="0.2">
      <c r="G2137" s="143"/>
    </row>
    <row r="2138" spans="7:7" x14ac:dyDescent="0.2">
      <c r="G2138" s="143"/>
    </row>
    <row r="2139" spans="7:7" x14ac:dyDescent="0.2">
      <c r="G2139" s="143"/>
    </row>
    <row r="2140" spans="7:7" x14ac:dyDescent="0.2">
      <c r="G2140" s="143"/>
    </row>
    <row r="2141" spans="7:7" x14ac:dyDescent="0.2">
      <c r="G2141" s="143"/>
    </row>
    <row r="2142" spans="7:7" x14ac:dyDescent="0.2">
      <c r="G2142" s="143"/>
    </row>
    <row r="2143" spans="7:7" x14ac:dyDescent="0.2">
      <c r="G2143" s="143"/>
    </row>
    <row r="2144" spans="7:7" x14ac:dyDescent="0.2">
      <c r="G2144" s="143"/>
    </row>
  </sheetData>
  <autoFilter ref="A3:F1608"/>
  <customSheetViews>
    <customSheetView guid="{4343EAB4-2D43-465E-91A1-08A16D649EDB}" scale="75" printArea="1" showAutoFilter="1" showRuler="0">
      <pane xSplit="2" ySplit="1" topLeftCell="C2" activePane="bottomRight" state="frozen"/>
      <selection pane="bottomRight" activeCell="D21" sqref="D21"/>
      <pageMargins left="0.75" right="0.75" top="1" bottom="1" header="0" footer="0"/>
      <pageSetup scale="85" orientation="landscape" r:id="rId1"/>
      <headerFooter alignWithMargins="0"/>
      <autoFilter ref="B1:G1"/>
    </customSheetView>
  </customSheetViews>
  <mergeCells count="4">
    <mergeCell ref="B4:F4"/>
    <mergeCell ref="B858:F858"/>
    <mergeCell ref="B1371:F1371"/>
    <mergeCell ref="A1:F1"/>
  </mergeCells>
  <phoneticPr fontId="0" type="noConversion"/>
  <printOptions horizontalCentered="1"/>
  <pageMargins left="0.59055118110236227" right="0.59055118110236227" top="0.59055118110236227" bottom="0.59055118110236227" header="0" footer="0"/>
  <pageSetup paperSize="119" scale="65" orientation="portrait" r:id="rId2"/>
  <headerFooter alignWithMargins="0"/>
  <rowBreaks count="18" manualBreakCount="18">
    <brk id="81" max="5" man="1"/>
    <brk id="167" max="5" man="1"/>
    <brk id="250" max="5" man="1"/>
    <brk id="337" max="5" man="1"/>
    <brk id="419" max="5" man="1"/>
    <brk id="500" max="5" man="1"/>
    <brk id="589" max="5" man="1"/>
    <brk id="676" max="5" man="1"/>
    <brk id="758" max="5" man="1"/>
    <brk id="847" max="5" man="1"/>
    <brk id="930" max="5" man="1"/>
    <brk id="1018" max="5" man="1"/>
    <brk id="1106" max="5" man="1"/>
    <brk id="1195" max="5" man="1"/>
    <brk id="1284" max="5" man="1"/>
    <brk id="1370" max="5" man="1"/>
    <brk id="1450" max="5" man="1"/>
    <brk id="1535" max="5" man="1"/>
  </rowBreaks>
  <ignoredErrors>
    <ignoredError sqref="E559" formula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Costo de Materiales</vt:lpstr>
      <vt:lpstr>Tabla de Precios Unitarios PPPF</vt:lpstr>
      <vt:lpstr>'Costo de Materiales'!Área_de_impresión</vt:lpstr>
      <vt:lpstr>'Tabla de Precios Unitarios PPPF'!Área_de_impresión</vt:lpstr>
      <vt:lpstr>'Costo de Materiales'!Títulos_a_imprimir</vt:lpstr>
      <vt:lpstr>'Tabla de Precios Unitarios PPPF'!Títulos_a_imprimir</vt:lpstr>
    </vt:vector>
  </TitlesOfParts>
  <Company>MINVU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MINVU Análisis de Precios Unitarios PPPF 2011 DITEC</dc:title>
  <dc:creator>MINVU-DITEC-DGC-yht</dc:creator>
  <cp:lastModifiedBy>William Wragg Larco</cp:lastModifiedBy>
  <cp:lastPrinted>2011-02-14T19:28:38Z</cp:lastPrinted>
  <dcterms:created xsi:type="dcterms:W3CDTF">2008-10-06T16:28:38Z</dcterms:created>
  <dcterms:modified xsi:type="dcterms:W3CDTF">2022-08-24T22:27:23Z</dcterms:modified>
</cp:coreProperties>
</file>