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https://d.docs.live.net/8fae87fc39b77290/Escritorio/Excel Nivel Intermedio - UDECHI/5- Análisis de Sensibilidad/"/>
    </mc:Choice>
  </mc:AlternateContent>
  <xr:revisionPtr revIDLastSave="662" documentId="11_B581A5600B1CEE948BA0480ABA64CD3FCA922016" xr6:coauthVersionLast="47" xr6:coauthVersionMax="47" xr10:uidLastSave="{965DE6AF-9E63-44BC-A9F2-8690D61FDA59}"/>
  <bookViews>
    <workbookView xWindow="-120" yWindow="-120" windowWidth="29040" windowHeight="15720" tabRatio="707" activeTab="10" xr2:uid="{00000000-000D-0000-FFFF-FFFF00000000}"/>
  </bookViews>
  <sheets>
    <sheet name="Objetivo1" sheetId="8" r:id="rId1"/>
    <sheet name="Objetivo2" sheetId="9" r:id="rId2"/>
    <sheet name="Objetivo3" sheetId="7" r:id="rId3"/>
    <sheet name="Objetivo4" sheetId="11" r:id="rId4"/>
    <sheet name="Escenario1" sheetId="6" r:id="rId5"/>
    <sheet name="Escenario2" sheetId="1" r:id="rId6"/>
    <sheet name="Escenario3" sheetId="3" r:id="rId7"/>
    <sheet name="Escenario4" sheetId="5" r:id="rId8"/>
    <sheet name="Tabla de datos" sheetId="10" r:id="rId9"/>
    <sheet name="Tabla de datos2" sheetId="12" r:id="rId10"/>
    <sheet name="Tabla de datos3" sheetId="13" r:id="rId11"/>
  </sheets>
  <definedNames>
    <definedName name="CambioDolar" localSheetId="3">Objetivo4!$E$5</definedName>
    <definedName name="CambioDolar">#REF!</definedName>
    <definedName name="CostoFijoAdministrativos" localSheetId="3">Objetivo4!$E$26</definedName>
    <definedName name="CostoFijoAdministrativos">#REF!</definedName>
    <definedName name="CostoFijoFinanciero" localSheetId="3">Objetivo4!$E$23</definedName>
    <definedName name="CostoFijoFinanciero">#REF!</definedName>
    <definedName name="CostoFijoPublicidad" localSheetId="3">Objetivo4!$E$25</definedName>
    <definedName name="CostoFijoPublicidad">#REF!</definedName>
    <definedName name="CostoFijoSalarios" localSheetId="3">Objetivo4!$E$24</definedName>
    <definedName name="CostoFijoSalarios">#REF!</definedName>
    <definedName name="CostoManoObraUn" localSheetId="3">Objetivo4!$E$17</definedName>
    <definedName name="CostoManoObraUn">#REF!</definedName>
    <definedName name="CostoMaterialUn" localSheetId="3">Objetivo4!$E$16</definedName>
    <definedName name="CostoMaterialUn">#REF!</definedName>
    <definedName name="CostosTotales">Objetivo4!$E$29</definedName>
    <definedName name="CostoUnOtros" localSheetId="3">Objetivo4!$E$18</definedName>
    <definedName name="CostoUnOtros">#REF!</definedName>
    <definedName name="IngresosTotales">Objetivo4!$E$11</definedName>
    <definedName name="MargenBruto">Objetivo4!$E$31</definedName>
    <definedName name="PrecioVenta" localSheetId="3">Objetivo4!$D$10</definedName>
    <definedName name="PrecioVenta">#REF!</definedName>
    <definedName name="UnidadesVendidas" localSheetId="3">Objetivo4!$E$9</definedName>
    <definedName name="UnidadesVendida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L6" i="1"/>
  <c r="J7" i="1"/>
  <c r="J6" i="1"/>
  <c r="I7" i="3"/>
  <c r="I8" i="3"/>
  <c r="I9" i="3"/>
  <c r="I6" i="3"/>
  <c r="K7" i="3"/>
  <c r="K8" i="3"/>
  <c r="K9" i="3"/>
  <c r="K6" i="3"/>
  <c r="D7" i="13"/>
  <c r="G8" i="13"/>
  <c r="D7" i="12"/>
  <c r="D9" i="11"/>
  <c r="E10" i="11"/>
  <c r="E11" i="11" s="1"/>
  <c r="D11" i="11"/>
  <c r="D16" i="11"/>
  <c r="D17" i="11"/>
  <c r="D18" i="11"/>
  <c r="D19" i="11"/>
  <c r="E19" i="11"/>
  <c r="E20" i="11"/>
  <c r="D20" i="11" s="1"/>
  <c r="D23" i="11"/>
  <c r="D24" i="11"/>
  <c r="D25" i="11"/>
  <c r="D26" i="11"/>
  <c r="E27" i="11"/>
  <c r="E29" i="11" s="1"/>
  <c r="E10" i="10"/>
  <c r="E11" i="10" s="1"/>
  <c r="E10" i="5"/>
  <c r="D9" i="10"/>
  <c r="D11" i="10"/>
  <c r="D16" i="10"/>
  <c r="D17" i="10"/>
  <c r="D18" i="10"/>
  <c r="E19" i="10"/>
  <c r="E20" i="10" s="1"/>
  <c r="D20" i="10" s="1"/>
  <c r="D23" i="10"/>
  <c r="D24" i="10"/>
  <c r="D25" i="10"/>
  <c r="D26" i="10"/>
  <c r="E27" i="10"/>
  <c r="D19" i="10" l="1"/>
  <c r="E29" i="10"/>
  <c r="D9" i="13"/>
  <c r="D10" i="13" s="1"/>
  <c r="D27" i="11"/>
  <c r="D29" i="11" s="1"/>
  <c r="D31" i="11" s="1"/>
  <c r="E31" i="11"/>
  <c r="D27" i="10"/>
  <c r="D29" i="10" s="1"/>
  <c r="D31" i="10" s="1"/>
  <c r="E31" i="10"/>
  <c r="C15" i="9"/>
  <c r="H6" i="9"/>
  <c r="C5" i="8"/>
  <c r="C6" i="8" s="1"/>
  <c r="D17" i="7"/>
  <c r="G9" i="7"/>
  <c r="D16" i="7"/>
  <c r="D8" i="7"/>
  <c r="E10" i="1"/>
  <c r="E10" i="3"/>
  <c r="D11" i="13" l="1"/>
  <c r="D10" i="7"/>
  <c r="C4" i="6"/>
  <c r="E27" i="3"/>
  <c r="D27" i="3" s="1"/>
  <c r="D26" i="3"/>
  <c r="D25" i="3"/>
  <c r="D24" i="3"/>
  <c r="D23" i="3"/>
  <c r="E19" i="3"/>
  <c r="D19" i="3" s="1"/>
  <c r="D18" i="3"/>
  <c r="D17" i="3"/>
  <c r="D16" i="3"/>
  <c r="E11" i="3"/>
  <c r="D9" i="3"/>
  <c r="D11" i="3" s="1"/>
  <c r="E27" i="1"/>
  <c r="D27" i="1" s="1"/>
  <c r="D26" i="1"/>
  <c r="D25" i="1"/>
  <c r="D24" i="1"/>
  <c r="D23" i="1"/>
  <c r="E20" i="1"/>
  <c r="E29" i="1" s="1"/>
  <c r="E19" i="1"/>
  <c r="D19" i="1" s="1"/>
  <c r="D18" i="1"/>
  <c r="D17" i="1"/>
  <c r="D16" i="1"/>
  <c r="D11" i="1"/>
  <c r="E11" i="1"/>
  <c r="E31" i="1" s="1"/>
  <c r="D9" i="1"/>
  <c r="E19" i="5"/>
  <c r="E20" i="3" l="1"/>
  <c r="E29" i="3" s="1"/>
  <c r="E31" i="3" s="1"/>
  <c r="D12" i="13"/>
  <c r="D11" i="7"/>
  <c r="D18" i="7"/>
  <c r="D19" i="7" s="1"/>
  <c r="D20" i="3"/>
  <c r="D29" i="3" s="1"/>
  <c r="D31" i="3" s="1"/>
  <c r="D20" i="1"/>
  <c r="D29" i="1" s="1"/>
  <c r="D31" i="1"/>
  <c r="E27" i="5"/>
  <c r="D26" i="5"/>
  <c r="D25" i="5"/>
  <c r="D24" i="5"/>
  <c r="D23" i="5"/>
  <c r="E11" i="5"/>
  <c r="D9" i="5"/>
  <c r="D11" i="5" s="1"/>
  <c r="D27" i="5" l="1"/>
  <c r="D17" i="5"/>
  <c r="D16" i="5"/>
  <c r="D18" i="5"/>
  <c r="D19" i="5"/>
  <c r="E20" i="5" l="1"/>
  <c r="E29" i="5" s="1"/>
  <c r="D20" i="5" l="1"/>
  <c r="D29" i="5" s="1"/>
  <c r="D31" i="5" s="1"/>
  <c r="E31" i="5"/>
</calcChain>
</file>

<file path=xl/sharedStrings.xml><?xml version="1.0" encoding="utf-8"?>
<sst xmlns="http://schemas.openxmlformats.org/spreadsheetml/2006/main" count="290" uniqueCount="112">
  <si>
    <t>Unidades vendidas</t>
  </si>
  <si>
    <t>Precio por unidad</t>
  </si>
  <si>
    <t>USD</t>
  </si>
  <si>
    <t>Ingresos totales</t>
  </si>
  <si>
    <t>Costos variables</t>
  </si>
  <si>
    <t>Costo de material por unidad</t>
  </si>
  <si>
    <t>Costo de mano de obra por unidad</t>
  </si>
  <si>
    <t>Otros costos unitarios de manufactura</t>
  </si>
  <si>
    <t>Costos totales</t>
  </si>
  <si>
    <t>Costos variables totales</t>
  </si>
  <si>
    <t>Costos fijos del modelo C-03</t>
  </si>
  <si>
    <t>Financieros</t>
  </si>
  <si>
    <t>Salarios y beneficios</t>
  </si>
  <si>
    <t>Publicidad</t>
  </si>
  <si>
    <t>Administrativos</t>
  </si>
  <si>
    <t>Costos fijos totales</t>
  </si>
  <si>
    <t>COSTOS</t>
  </si>
  <si>
    <t>INGRESOS</t>
  </si>
  <si>
    <t>Costos variables unitarios</t>
  </si>
  <si>
    <t>MARGEN BRUTO</t>
  </si>
  <si>
    <t>Nombre celda</t>
  </si>
  <si>
    <t>CambioDolar</t>
  </si>
  <si>
    <t>UnidadesVendidas</t>
  </si>
  <si>
    <t>PrecioVenta</t>
  </si>
  <si>
    <t>CostoMaterialUn</t>
  </si>
  <si>
    <t>CostoManoObraUn</t>
  </si>
  <si>
    <t>CostoUnOtros</t>
  </si>
  <si>
    <t>CostoFijoFinanciero</t>
  </si>
  <si>
    <t>CostoFijoSalarios</t>
  </si>
  <si>
    <t>CostoFijoPublicidad</t>
  </si>
  <si>
    <t>CostoFijoAdministrativos</t>
  </si>
  <si>
    <t>IngresosTotales</t>
  </si>
  <si>
    <t>CostosTotales</t>
  </si>
  <si>
    <t>MargenBruto</t>
  </si>
  <si>
    <t>Cotización dólar (CLP)</t>
  </si>
  <si>
    <t>CLP.</t>
  </si>
  <si>
    <t>Periodo de Capitalización 4años</t>
  </si>
  <si>
    <t>Tasa de Interes del 18%</t>
  </si>
  <si>
    <t>Periodo de Capitalización 3 años</t>
  </si>
  <si>
    <t>Tasa de Interes del 11%</t>
  </si>
  <si>
    <t xml:space="preserve">Periodo de Capitalización 2 años </t>
  </si>
  <si>
    <t>Tasa de Interes del 15%</t>
  </si>
  <si>
    <t>Valor Futuro</t>
  </si>
  <si>
    <t>años</t>
  </si>
  <si>
    <t>Período de capitalización</t>
  </si>
  <si>
    <t>Interés</t>
  </si>
  <si>
    <t>Inversión</t>
  </si>
  <si>
    <t>Cuotas mensuales</t>
  </si>
  <si>
    <t>=</t>
  </si>
  <si>
    <t>Período de pagos</t>
  </si>
  <si>
    <t>Ineteres Mensual</t>
  </si>
  <si>
    <t>Valor UF</t>
  </si>
  <si>
    <t>Hay que pedir un crédito de $2552 UF para financiar el costo de una vivienda, el que por motivos de poder adquisitivo sólo puede pagar un costo de 10UF</t>
  </si>
  <si>
    <t>Caso1</t>
  </si>
  <si>
    <t>Caso2</t>
  </si>
  <si>
    <t>% de Pago</t>
  </si>
  <si>
    <t>Cuotas Mensual</t>
  </si>
  <si>
    <t>¿Cuanto tendría que pagar más que por concepto de interés, que la oferta anterior?</t>
  </si>
  <si>
    <t>%</t>
  </si>
  <si>
    <t>Pago Intereses Caso1</t>
  </si>
  <si>
    <t>Pago Intereses Caso2</t>
  </si>
  <si>
    <t>Intereses</t>
  </si>
  <si>
    <t>Valor Final</t>
  </si>
  <si>
    <t>Ventas</t>
  </si>
  <si>
    <t>Costos Fijos</t>
  </si>
  <si>
    <t>Rentabilidad</t>
  </si>
  <si>
    <t>Costos Variables</t>
  </si>
  <si>
    <t>Utilidad</t>
  </si>
  <si>
    <t>1- ¿Qué Ventas hay que tener para una Rentabilidad de 0%?</t>
  </si>
  <si>
    <t>2- ¿Qué Ventas hay que tener para una Rentabilidad de 50%?</t>
  </si>
  <si>
    <t>3- ¿Qué Ventas hay que tener para una Rentabilidad de 70%?</t>
  </si>
  <si>
    <t>Lunes</t>
  </si>
  <si>
    <t>Martes</t>
  </si>
  <si>
    <t>Miércoles</t>
  </si>
  <si>
    <t>Jueves</t>
  </si>
  <si>
    <t>Viernes</t>
  </si>
  <si>
    <t>El Promedio de Ventas por semana tiene que ser $3.100.000 cómo llegar al objetivo</t>
  </si>
  <si>
    <t>Promedio</t>
  </si>
  <si>
    <t>¿Cuánto tiene que vender el Viernes para cumplir el objetivo?</t>
  </si>
  <si>
    <t>Comisión</t>
  </si>
  <si>
    <t>% Comsión</t>
  </si>
  <si>
    <t>El objetivo de Comisión es de $1.900.000</t>
  </si>
  <si>
    <t>¿Cuánto tiene que vender?</t>
  </si>
  <si>
    <t>COSTO FIJO</t>
  </si>
  <si>
    <t>COSTO VARIABLE</t>
  </si>
  <si>
    <t>INGRESO</t>
  </si>
  <si>
    <t>¿Obtener objetivo de MargenBruto cambiando UnidadesVendidas?</t>
  </si>
  <si>
    <t>MargenBruto del 8%</t>
  </si>
  <si>
    <t>MargenBruto del 15%</t>
  </si>
  <si>
    <t>MargenBruto del 0%</t>
  </si>
  <si>
    <t>¿Obtener objetivo de MargenBruto cambiando Precio por Unidad?</t>
  </si>
  <si>
    <t>¿Obtener objetivo de MargenBruto cambiando CostosFijoSalarios?</t>
  </si>
  <si>
    <t>Crédito</t>
  </si>
  <si>
    <t>Cuota mensual CLP</t>
  </si>
  <si>
    <t>Cuota mensual UF</t>
  </si>
  <si>
    <t>Interés Anual %</t>
  </si>
  <si>
    <t>Deuda Total</t>
  </si>
  <si>
    <t>Hay que pedir un crédito de $2552 UF para financiar el costo de una vivienda, prueba con tabla de datos distintos resultados</t>
  </si>
  <si>
    <t>Periodos y tasas de interés Anual en Base a los Intereses a Pagar</t>
  </si>
  <si>
    <t>Periodos y tasas de interés Anual en Base a la Deuda Total</t>
  </si>
  <si>
    <t>instrucciones:</t>
  </si>
  <si>
    <t>Prueba el Margen Bruto con los siguientes aumentos y disminuciones en Costos</t>
  </si>
  <si>
    <t>Prueba el Margen Bruto con los siguientes aumentos y disminuciones en Precio Por Unidad y Unidades Vendidas</t>
  </si>
  <si>
    <t>1- Combina los escenarios comerciales y de producción</t>
  </si>
  <si>
    <t>Escenarios de Costos y Producción</t>
  </si>
  <si>
    <t>Escenarios Comerciales</t>
  </si>
  <si>
    <t>Escenarios Combinados</t>
  </si>
  <si>
    <t>Análisis de resultados con Tabla de datos</t>
  </si>
  <si>
    <t>Análisis de resultados  Financieros con Tabla de datos</t>
  </si>
  <si>
    <t>1- Muestra el Valor Futuro en base a los siguentes parametros de Interés y Período de capitalización</t>
  </si>
  <si>
    <t>1- En base al cambio de Dólar obtener resultados de: Ingreso, Costo Variables, Costos Fijos, Margen Bruto</t>
  </si>
  <si>
    <t>2- En base al cambio de Dólar y UnidadesVendidas obtener resultado de : MargenBruto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</si>
</sst>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;[Red]&quot;$&quot;\-#,##0.00"/>
    <numFmt numFmtId="42" formatCode="_ &quot;$&quot;* #,##0_ ;_ &quot;$&quot;* \-#,##0_ ;_ &quot;$&quot;* &quot;-&quot;_ ;_ @_ "/>
    <numFmt numFmtId="44" formatCode="_ &quot;$&quot;* #,##0.00_ ;_ &quot;$&quot;* \-#,##0.00_ ;_ &quot;$&quot;* &quot;-&quot;??_ ;_ @_ "/>
    <numFmt numFmtId="164" formatCode="_(* #,##0.00_);_(* \(#,##0.00\);_(* &quot;-&quot;??_);_(@_)"/>
    <numFmt numFmtId="165" formatCode="_(* #,##0_);_(* \(#,##0\);_(* &quot;-&quot;??_);_(@_)"/>
    <numFmt numFmtId="166" formatCode="[$USD]\ #,##0_);\([$USD]\ #,##0\)"/>
    <numFmt numFmtId="167" formatCode="0.0%"/>
    <numFmt numFmtId="168" formatCode="&quot;$&quot;#,##0.00;[Red]\-&quot;$&quot;#,##0.00"/>
    <numFmt numFmtId="169" formatCode="&quot;$&quot;#,##0.00"/>
    <numFmt numFmtId="170" formatCode="_ &quot;$&quot;* #,##0.0_ ;_ &quot;$&quot;* \-#,##0.0_ ;_ &quot;$&quot;* &quot;-&quot;_ ;_ @_ 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theme="1" tint="0.34998626667073579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i/>
      <sz val="10"/>
      <color theme="3"/>
      <name val="Calibri"/>
      <family val="2"/>
      <scheme val="minor"/>
    </font>
    <font>
      <b/>
      <i/>
      <sz val="20"/>
      <color theme="5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2" fontId="4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2" fillId="0" borderId="1" xfId="0" applyFont="1" applyBorder="1"/>
    <xf numFmtId="0" fontId="2" fillId="0" borderId="3" xfId="0" applyFont="1" applyBorder="1"/>
    <xf numFmtId="165" fontId="0" fillId="0" borderId="0" xfId="1" applyNumberFormat="1" applyFont="1"/>
    <xf numFmtId="0" fontId="7" fillId="0" borderId="0" xfId="0" applyFont="1"/>
    <xf numFmtId="165" fontId="0" fillId="0" borderId="1" xfId="1" applyNumberFormat="1" applyFont="1" applyBorder="1"/>
    <xf numFmtId="165" fontId="0" fillId="0" borderId="2" xfId="1" applyNumberFormat="1" applyFont="1" applyBorder="1"/>
    <xf numFmtId="166" fontId="1" fillId="0" borderId="0" xfId="1" applyNumberFormat="1" applyFont="1"/>
    <xf numFmtId="166" fontId="1" fillId="0" borderId="0" xfId="1" applyNumberFormat="1" applyFont="1" applyBorder="1"/>
    <xf numFmtId="166" fontId="1" fillId="0" borderId="0" xfId="0" applyNumberFormat="1" applyFont="1"/>
    <xf numFmtId="0" fontId="5" fillId="2" borderId="0" xfId="0" applyFont="1" applyFill="1"/>
    <xf numFmtId="0" fontId="6" fillId="2" borderId="0" xfId="0" applyFont="1" applyFill="1"/>
    <xf numFmtId="0" fontId="8" fillId="0" borderId="0" xfId="0" applyFont="1"/>
    <xf numFmtId="167" fontId="5" fillId="2" borderId="0" xfId="2" applyNumberFormat="1" applyFont="1" applyFill="1"/>
    <xf numFmtId="0" fontId="9" fillId="3" borderId="0" xfId="0" applyFont="1" applyFill="1"/>
    <xf numFmtId="0" fontId="6" fillId="2" borderId="0" xfId="0" applyFont="1" applyFill="1" applyAlignment="1">
      <alignment horizontal="center" wrapText="1"/>
    </xf>
    <xf numFmtId="0" fontId="0" fillId="3" borderId="0" xfId="0" applyFill="1"/>
    <xf numFmtId="0" fontId="10" fillId="0" borderId="0" xfId="0" applyFont="1"/>
    <xf numFmtId="42" fontId="0" fillId="3" borderId="1" xfId="1" applyNumberFormat="1" applyFont="1" applyFill="1" applyBorder="1"/>
    <xf numFmtId="42" fontId="0" fillId="0" borderId="1" xfId="1" applyNumberFormat="1" applyFont="1" applyBorder="1"/>
    <xf numFmtId="165" fontId="0" fillId="0" borderId="0" xfId="1" applyNumberFormat="1" applyFont="1" applyBorder="1"/>
    <xf numFmtId="42" fontId="0" fillId="0" borderId="0" xfId="0" applyNumberFormat="1"/>
    <xf numFmtId="42" fontId="0" fillId="0" borderId="1" xfId="0" applyNumberFormat="1" applyBorder="1"/>
    <xf numFmtId="42" fontId="0" fillId="3" borderId="0" xfId="1" applyNumberFormat="1" applyFont="1" applyFill="1"/>
    <xf numFmtId="42" fontId="0" fillId="3" borderId="2" xfId="1" applyNumberFormat="1" applyFont="1" applyFill="1" applyBorder="1"/>
    <xf numFmtId="42" fontId="1" fillId="0" borderId="0" xfId="1" applyNumberFormat="1" applyFont="1" applyBorder="1"/>
    <xf numFmtId="42" fontId="0" fillId="0" borderId="0" xfId="1" applyNumberFormat="1" applyFont="1"/>
    <xf numFmtId="42" fontId="1" fillId="0" borderId="0" xfId="1" applyNumberFormat="1" applyFont="1"/>
    <xf numFmtId="42" fontId="1" fillId="0" borderId="0" xfId="0" applyNumberFormat="1" applyFont="1"/>
    <xf numFmtId="168" fontId="0" fillId="4" borderId="4" xfId="0" applyNumberFormat="1" applyFill="1" applyBorder="1"/>
    <xf numFmtId="0" fontId="0" fillId="0" borderId="4" xfId="0" applyBorder="1"/>
    <xf numFmtId="9" fontId="0" fillId="0" borderId="4" xfId="0" applyNumberFormat="1" applyBorder="1"/>
    <xf numFmtId="169" fontId="11" fillId="0" borderId="4" xfId="0" applyNumberFormat="1" applyFont="1" applyBorder="1"/>
    <xf numFmtId="169" fontId="0" fillId="0" borderId="0" xfId="0" applyNumberFormat="1"/>
    <xf numFmtId="8" fontId="0" fillId="0" borderId="0" xfId="0" applyNumberFormat="1"/>
    <xf numFmtId="0" fontId="0" fillId="5" borderId="5" xfId="0" applyFill="1" applyBorder="1"/>
    <xf numFmtId="42" fontId="0" fillId="0" borderId="5" xfId="3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42" fontId="0" fillId="0" borderId="9" xfId="0" applyNumberFormat="1" applyBorder="1"/>
    <xf numFmtId="169" fontId="0" fillId="0" borderId="9" xfId="0" applyNumberFormat="1" applyBorder="1"/>
    <xf numFmtId="10" fontId="0" fillId="0" borderId="9" xfId="2" applyNumberFormat="1" applyFont="1" applyBorder="1"/>
    <xf numFmtId="0" fontId="0" fillId="0" borderId="9" xfId="0" applyBorder="1"/>
    <xf numFmtId="168" fontId="0" fillId="5" borderId="9" xfId="0" applyNumberFormat="1" applyFill="1" applyBorder="1"/>
    <xf numFmtId="44" fontId="0" fillId="0" borderId="9" xfId="0" applyNumberFormat="1" applyBorder="1"/>
    <xf numFmtId="42" fontId="0" fillId="0" borderId="0" xfId="3" applyFont="1"/>
    <xf numFmtId="170" fontId="0" fillId="0" borderId="9" xfId="3" applyNumberFormat="1" applyFont="1" applyBorder="1"/>
    <xf numFmtId="0" fontId="0" fillId="5" borderId="12" xfId="0" applyFill="1" applyBorder="1"/>
    <xf numFmtId="42" fontId="0" fillId="7" borderId="12" xfId="3" applyFont="1" applyFill="1" applyBorder="1"/>
    <xf numFmtId="42" fontId="0" fillId="0" borderId="12" xfId="3" applyFont="1" applyBorder="1"/>
    <xf numFmtId="42" fontId="0" fillId="0" borderId="12" xfId="0" applyNumberFormat="1" applyBorder="1"/>
    <xf numFmtId="167" fontId="0" fillId="8" borderId="12" xfId="2" applyNumberFormat="1" applyFont="1" applyFill="1" applyBorder="1"/>
    <xf numFmtId="0" fontId="0" fillId="0" borderId="12" xfId="0" applyBorder="1"/>
    <xf numFmtId="42" fontId="0" fillId="9" borderId="12" xfId="3" applyFont="1" applyFill="1" applyBorder="1"/>
    <xf numFmtId="9" fontId="0" fillId="0" borderId="0" xfId="3" applyNumberFormat="1" applyFont="1"/>
    <xf numFmtId="1" fontId="0" fillId="0" borderId="0" xfId="0" applyNumberFormat="1"/>
    <xf numFmtId="10" fontId="0" fillId="0" borderId="0" xfId="0" applyNumberFormat="1"/>
    <xf numFmtId="0" fontId="0" fillId="7" borderId="0" xfId="0" applyFill="1"/>
    <xf numFmtId="0" fontId="0" fillId="6" borderId="9" xfId="0" applyFill="1" applyBorder="1" applyAlignment="1">
      <alignment horizontal="right"/>
    </xf>
    <xf numFmtId="0" fontId="0" fillId="6" borderId="10" xfId="0" applyFill="1" applyBorder="1" applyAlignment="1">
      <alignment horizontal="right"/>
    </xf>
    <xf numFmtId="0" fontId="0" fillId="6" borderId="11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3" borderId="4" xfId="0" applyFill="1" applyBorder="1" applyAlignment="1">
      <alignment horizontal="right"/>
    </xf>
    <xf numFmtId="9" fontId="0" fillId="0" borderId="0" xfId="0" applyNumberFormat="1"/>
    <xf numFmtId="168" fontId="0" fillId="0" borderId="0" xfId="0" applyNumberFormat="1"/>
    <xf numFmtId="0" fontId="0" fillId="6" borderId="9" xfId="0" applyFill="1" applyBorder="1" applyAlignment="1">
      <alignment horizontal="left"/>
    </xf>
    <xf numFmtId="0" fontId="0" fillId="5" borderId="9" xfId="0" applyFill="1" applyBorder="1" applyAlignment="1">
      <alignment horizontal="left"/>
    </xf>
    <xf numFmtId="0" fontId="0" fillId="6" borderId="10" xfId="0" applyFill="1" applyBorder="1" applyAlignment="1">
      <alignment horizontal="left"/>
    </xf>
    <xf numFmtId="0" fontId="0" fillId="6" borderId="11" xfId="0" applyFill="1" applyBorder="1" applyAlignment="1">
      <alignment horizontal="left"/>
    </xf>
    <xf numFmtId="0" fontId="10" fillId="0" borderId="0" xfId="0" applyFont="1" applyBorder="1"/>
    <xf numFmtId="0" fontId="14" fillId="3" borderId="13" xfId="0" applyFont="1" applyFill="1" applyBorder="1"/>
    <xf numFmtId="42" fontId="0" fillId="0" borderId="13" xfId="0" applyNumberFormat="1" applyBorder="1"/>
    <xf numFmtId="42" fontId="0" fillId="0" borderId="13" xfId="3" applyFont="1" applyBorder="1"/>
    <xf numFmtId="9" fontId="11" fillId="3" borderId="13" xfId="0" applyNumberFormat="1" applyFont="1" applyFill="1" applyBorder="1" applyAlignment="1">
      <alignment horizontal="center"/>
    </xf>
    <xf numFmtId="9" fontId="0" fillId="3" borderId="13" xfId="0" applyNumberFormat="1" applyFont="1" applyFill="1" applyBorder="1" applyAlignment="1">
      <alignment horizontal="center"/>
    </xf>
    <xf numFmtId="9" fontId="13" fillId="3" borderId="13" xfId="0" applyNumberFormat="1" applyFont="1" applyFill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15" fillId="0" borderId="0" xfId="0" applyFont="1"/>
  </cellXfs>
  <cellStyles count="4">
    <cellStyle name="Millares" xfId="1" builtinId="3"/>
    <cellStyle name="Moneda [0]" xfId="3" builtinId="7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400050</xdr:colOff>
      <xdr:row>3</xdr:row>
      <xdr:rowOff>14287</xdr:rowOff>
    </xdr:from>
    <xdr:ext cx="117224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61155F2-E508-4380-B155-85DBFDA4E05D}"/>
                </a:ext>
              </a:extLst>
            </xdr:cNvPr>
            <xdr:cNvSpPr txBox="1"/>
          </xdr:nvSpPr>
          <xdr:spPr>
            <a:xfrm>
              <a:off x="3448050" y="585787"/>
              <a:ext cx="1172244" cy="172227"/>
            </a:xfrm>
            <a:prstGeom prst="rect">
              <a:avLst/>
            </a:prstGeom>
            <a:noFill/>
            <a:ln>
              <a:solidFill>
                <a:schemeClr val="bg1">
                  <a:lumMod val="85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ES" sz="1100" i="1">
                        <a:latin typeface="Cambria Math" panose="02040503050406030204" pitchFamily="18" charset="0"/>
                      </a:rPr>
                      <m:t>𝑉𝐹</m:t>
                    </m:r>
                    <m:r>
                      <a:rPr lang="es-ES" sz="110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s-ES" sz="110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es-ES" sz="1100" i="1">
                        <a:latin typeface="Cambria Math" panose="02040503050406030204" pitchFamily="18" charset="0"/>
                      </a:rPr>
                      <m:t>2,</m:t>
                    </m:r>
                    <m:r>
                      <a:rPr lang="es-ES" sz="110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es-ES" sz="1100" i="1">
                        <a:latin typeface="Cambria Math" panose="02040503050406030204" pitchFamily="18" charset="0"/>
                      </a:rPr>
                      <m:t>3,0,</m:t>
                    </m:r>
                    <m:r>
                      <a:rPr lang="es-ES" sz="110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es-ES" sz="1100" i="1">
                        <a:latin typeface="Cambria Math" panose="02040503050406030204" pitchFamily="18" charset="0"/>
                      </a:rPr>
                      <m:t>1)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61155F2-E508-4380-B155-85DBFDA4E05D}"/>
                </a:ext>
              </a:extLst>
            </xdr:cNvPr>
            <xdr:cNvSpPr txBox="1"/>
          </xdr:nvSpPr>
          <xdr:spPr>
            <a:xfrm>
              <a:off x="3448050" y="585787"/>
              <a:ext cx="1172244" cy="172227"/>
            </a:xfrm>
            <a:prstGeom prst="rect">
              <a:avLst/>
            </a:prstGeom>
            <a:noFill/>
            <a:ln>
              <a:solidFill>
                <a:schemeClr val="bg1">
                  <a:lumMod val="85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i="0">
                  <a:latin typeface="Cambria Math" panose="02040503050406030204" pitchFamily="18" charset="0"/>
                </a:rPr>
                <a:t>=𝑉𝐹(𝐶2,𝐶3,0,𝐶1)</a:t>
              </a:r>
              <a:endParaRPr lang="es-ES" sz="1100"/>
            </a:p>
          </xdr:txBody>
        </xdr:sp>
      </mc:Fallback>
    </mc:AlternateContent>
    <xdr:clientData/>
  </xdr:oneCellAnchor>
  <xdr:twoCellAnchor>
    <xdr:from>
      <xdr:col>3</xdr:col>
      <xdr:colOff>38101</xdr:colOff>
      <xdr:row>3</xdr:row>
      <xdr:rowOff>100401</xdr:rowOff>
    </xdr:from>
    <xdr:to>
      <xdr:col>4</xdr:col>
      <xdr:colOff>400050</xdr:colOff>
      <xdr:row>3</xdr:row>
      <xdr:rowOff>104776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A9460341-B166-4DAF-A7F6-AB2CA25E9804}"/>
            </a:ext>
          </a:extLst>
        </xdr:cNvPr>
        <xdr:cNvCxnSpPr>
          <a:stCxn id="2" idx="1"/>
        </xdr:cNvCxnSpPr>
      </xdr:nvCxnSpPr>
      <xdr:spPr>
        <a:xfrm flipH="1">
          <a:off x="2324101" y="671901"/>
          <a:ext cx="1123949" cy="4375"/>
        </a:xfrm>
        <a:prstGeom prst="straightConnector1">
          <a:avLst/>
        </a:prstGeom>
        <a:ln>
          <a:solidFill>
            <a:schemeClr val="bg1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400050</xdr:colOff>
      <xdr:row>6</xdr:row>
      <xdr:rowOff>14287</xdr:rowOff>
    </xdr:from>
    <xdr:ext cx="1172244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E45D96DB-BD09-454E-895E-FBFE7F9044E8}"/>
                </a:ext>
              </a:extLst>
            </xdr:cNvPr>
            <xdr:cNvSpPr txBox="1"/>
          </xdr:nvSpPr>
          <xdr:spPr>
            <a:xfrm>
              <a:off x="3476625" y="585787"/>
              <a:ext cx="1172244" cy="172227"/>
            </a:xfrm>
            <a:prstGeom prst="rect">
              <a:avLst/>
            </a:prstGeom>
            <a:noFill/>
            <a:ln>
              <a:solidFill>
                <a:schemeClr val="bg1">
                  <a:lumMod val="85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ES" sz="1100" i="1">
                        <a:latin typeface="Cambria Math" panose="02040503050406030204" pitchFamily="18" charset="0"/>
                      </a:rPr>
                      <m:t>𝑉𝐹</m:t>
                    </m:r>
                    <m:r>
                      <a:rPr lang="es-ES" sz="110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es-ES" sz="110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es-ES" sz="1100" i="1">
                        <a:latin typeface="Cambria Math" panose="02040503050406030204" pitchFamily="18" charset="0"/>
                      </a:rPr>
                      <m:t>2,</m:t>
                    </m:r>
                    <m:r>
                      <a:rPr lang="es-ES" sz="110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es-ES" sz="1100" i="1">
                        <a:latin typeface="Cambria Math" panose="02040503050406030204" pitchFamily="18" charset="0"/>
                      </a:rPr>
                      <m:t>3,0,</m:t>
                    </m:r>
                    <m:r>
                      <a:rPr lang="es-ES" sz="110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es-ES" sz="1100" i="1">
                        <a:latin typeface="Cambria Math" panose="02040503050406030204" pitchFamily="18" charset="0"/>
                      </a:rPr>
                      <m:t>1)</m:t>
                    </m:r>
                  </m:oMath>
                </m:oMathPara>
              </a14:m>
              <a:endParaRPr lang="es-ES" sz="1100"/>
            </a:p>
          </xdr:txBody>
        </xdr:sp>
      </mc:Choice>
      <mc:Fallback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E45D96DB-BD09-454E-895E-FBFE7F9044E8}"/>
                </a:ext>
              </a:extLst>
            </xdr:cNvPr>
            <xdr:cNvSpPr txBox="1"/>
          </xdr:nvSpPr>
          <xdr:spPr>
            <a:xfrm>
              <a:off x="3476625" y="585787"/>
              <a:ext cx="1172244" cy="172227"/>
            </a:xfrm>
            <a:prstGeom prst="rect">
              <a:avLst/>
            </a:prstGeom>
            <a:noFill/>
            <a:ln>
              <a:solidFill>
                <a:schemeClr val="bg1">
                  <a:lumMod val="85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i="0">
                  <a:latin typeface="Cambria Math" panose="02040503050406030204" pitchFamily="18" charset="0"/>
                </a:rPr>
                <a:t>=𝑉𝐹(𝐶2,𝐶3,0,𝐶1)</a:t>
              </a:r>
              <a:endParaRPr lang="es-ES" sz="1100"/>
            </a:p>
          </xdr:txBody>
        </xdr:sp>
      </mc:Fallback>
    </mc:AlternateContent>
    <xdr:clientData/>
  </xdr:oneCellAnchor>
  <xdr:twoCellAnchor>
    <xdr:from>
      <xdr:col>4</xdr:col>
      <xdr:colOff>38101</xdr:colOff>
      <xdr:row>6</xdr:row>
      <xdr:rowOff>100401</xdr:rowOff>
    </xdr:from>
    <xdr:to>
      <xdr:col>5</xdr:col>
      <xdr:colOff>400050</xdr:colOff>
      <xdr:row>6</xdr:row>
      <xdr:rowOff>104776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1B873BC0-63FA-4C7A-91E4-2F422A5A0AC7}"/>
            </a:ext>
          </a:extLst>
        </xdr:cNvPr>
        <xdr:cNvCxnSpPr>
          <a:stCxn id="2" idx="1"/>
        </xdr:cNvCxnSpPr>
      </xdr:nvCxnSpPr>
      <xdr:spPr>
        <a:xfrm flipH="1">
          <a:off x="2352676" y="671901"/>
          <a:ext cx="1123949" cy="4375"/>
        </a:xfrm>
        <a:prstGeom prst="straightConnector1">
          <a:avLst/>
        </a:prstGeom>
        <a:ln>
          <a:solidFill>
            <a:schemeClr val="bg1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E2BAC-1D16-4D8C-849C-610E79A2E00F}">
  <dimension ref="B2:C17"/>
  <sheetViews>
    <sheetView workbookViewId="0">
      <selection activeCell="B35" sqref="B35"/>
    </sheetView>
  </sheetViews>
  <sheetFormatPr baseColWidth="10" defaultRowHeight="15" x14ac:dyDescent="0.25"/>
  <cols>
    <col min="2" max="2" width="20.7109375" customWidth="1"/>
    <col min="3" max="3" width="15.28515625" customWidth="1"/>
  </cols>
  <sheetData>
    <row r="2" spans="2:3" x14ac:dyDescent="0.25">
      <c r="B2" s="53" t="s">
        <v>63</v>
      </c>
      <c r="C2" s="54">
        <v>12300000</v>
      </c>
    </row>
    <row r="3" spans="2:3" x14ac:dyDescent="0.25">
      <c r="B3" s="53" t="s">
        <v>64</v>
      </c>
      <c r="C3" s="55">
        <v>2300000</v>
      </c>
    </row>
    <row r="4" spans="2:3" x14ac:dyDescent="0.25">
      <c r="B4" s="53" t="s">
        <v>66</v>
      </c>
      <c r="C4" s="54">
        <v>3300000</v>
      </c>
    </row>
    <row r="5" spans="2:3" x14ac:dyDescent="0.25">
      <c r="B5" s="53" t="s">
        <v>67</v>
      </c>
      <c r="C5" s="56">
        <f>C2-SUM(C3:C4)</f>
        <v>6700000</v>
      </c>
    </row>
    <row r="6" spans="2:3" x14ac:dyDescent="0.25">
      <c r="B6" s="53" t="s">
        <v>65</v>
      </c>
      <c r="C6" s="57">
        <f>C5/C2</f>
        <v>0.54471544715447151</v>
      </c>
    </row>
    <row r="11" spans="2:3" x14ac:dyDescent="0.25">
      <c r="B11" t="s">
        <v>68</v>
      </c>
    </row>
    <row r="14" spans="2:3" x14ac:dyDescent="0.25">
      <c r="B14" t="s">
        <v>69</v>
      </c>
    </row>
    <row r="17" spans="2:2" x14ac:dyDescent="0.25">
      <c r="B17" t="s">
        <v>70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F6B15-9A0F-487C-9F3C-214185297684}">
  <dimension ref="B2:P15"/>
  <sheetViews>
    <sheetView zoomScale="110" zoomScaleNormal="110" workbookViewId="0">
      <selection activeCell="F21" sqref="F21"/>
    </sheetView>
  </sheetViews>
  <sheetFormatPr baseColWidth="10" defaultRowHeight="15" x14ac:dyDescent="0.25"/>
  <cols>
    <col min="4" max="4" width="11.85546875" bestFit="1" customWidth="1"/>
  </cols>
  <sheetData>
    <row r="2" spans="2:16" ht="26.25" x14ac:dyDescent="0.4">
      <c r="B2" s="84" t="s">
        <v>108</v>
      </c>
    </row>
    <row r="4" spans="2:16" x14ac:dyDescent="0.25">
      <c r="B4" s="68" t="s">
        <v>46</v>
      </c>
      <c r="C4" s="68"/>
      <c r="D4" s="37">
        <v>-1500</v>
      </c>
    </row>
    <row r="5" spans="2:16" x14ac:dyDescent="0.25">
      <c r="B5" s="68" t="s">
        <v>45</v>
      </c>
      <c r="C5" s="68"/>
      <c r="D5" s="36">
        <v>0.15</v>
      </c>
    </row>
    <row r="6" spans="2:16" x14ac:dyDescent="0.25">
      <c r="B6" s="68" t="s">
        <v>44</v>
      </c>
      <c r="C6" s="68"/>
      <c r="D6" s="35">
        <v>2</v>
      </c>
      <c r="E6" t="s">
        <v>43</v>
      </c>
    </row>
    <row r="7" spans="2:16" x14ac:dyDescent="0.25">
      <c r="B7" s="67" t="s">
        <v>42</v>
      </c>
      <c r="C7" s="67"/>
      <c r="D7" s="34">
        <f>FV(D5,D6,0,D4)</f>
        <v>1983.7499999999998</v>
      </c>
      <c r="K7" s="1" t="s">
        <v>100</v>
      </c>
    </row>
    <row r="8" spans="2:16" x14ac:dyDescent="0.25">
      <c r="K8" t="s">
        <v>109</v>
      </c>
    </row>
    <row r="10" spans="2:16" x14ac:dyDescent="0.25">
      <c r="D10" s="70"/>
      <c r="E10" s="69"/>
      <c r="F10" s="69"/>
      <c r="G10" s="69"/>
      <c r="H10" s="69"/>
      <c r="I10" s="69"/>
      <c r="K10" s="70"/>
      <c r="L10" s="69">
        <v>0.09</v>
      </c>
      <c r="M10" s="69">
        <v>0.11</v>
      </c>
      <c r="N10" s="69">
        <v>0.15</v>
      </c>
      <c r="O10" s="69">
        <v>0.18</v>
      </c>
      <c r="P10" s="69">
        <v>0.21</v>
      </c>
    </row>
    <row r="11" spans="2:16" x14ac:dyDescent="0.25">
      <c r="K11">
        <v>1</v>
      </c>
    </row>
    <row r="12" spans="2:16" x14ac:dyDescent="0.25">
      <c r="K12">
        <v>2</v>
      </c>
    </row>
    <row r="13" spans="2:16" x14ac:dyDescent="0.25">
      <c r="J13" s="69"/>
      <c r="K13">
        <v>3</v>
      </c>
    </row>
    <row r="14" spans="2:16" x14ac:dyDescent="0.25">
      <c r="K14">
        <v>4</v>
      </c>
    </row>
    <row r="15" spans="2:16" x14ac:dyDescent="0.25">
      <c r="K15">
        <v>5</v>
      </c>
    </row>
  </sheetData>
  <mergeCells count="4">
    <mergeCell ref="B4:C4"/>
    <mergeCell ref="B5:C5"/>
    <mergeCell ref="B6:C6"/>
    <mergeCell ref="B7:C7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7BA95-64A0-4497-91CD-2AFCF82F90C3}">
  <dimension ref="B2:L27"/>
  <sheetViews>
    <sheetView tabSelected="1" zoomScale="120" zoomScaleNormal="120" workbookViewId="0">
      <selection activeCell="I9" sqref="I9"/>
    </sheetView>
  </sheetViews>
  <sheetFormatPr baseColWidth="10" defaultRowHeight="15" x14ac:dyDescent="0.25"/>
  <cols>
    <col min="1" max="1" width="7" customWidth="1"/>
    <col min="2" max="2" width="8.42578125" customWidth="1"/>
    <col min="4" max="4" width="18.5703125" customWidth="1"/>
    <col min="5" max="5" width="5.85546875" customWidth="1"/>
    <col min="6" max="6" width="2" bestFit="1" customWidth="1"/>
    <col min="7" max="7" width="19.28515625" customWidth="1"/>
    <col min="8" max="8" width="12" customWidth="1"/>
    <col min="9" max="9" width="12.7109375" customWidth="1"/>
  </cols>
  <sheetData>
    <row r="2" spans="2:12" x14ac:dyDescent="0.25">
      <c r="B2" t="s">
        <v>97</v>
      </c>
    </row>
    <row r="4" spans="2:12" x14ac:dyDescent="0.25">
      <c r="K4" s="26"/>
    </row>
    <row r="5" spans="2:12" x14ac:dyDescent="0.25">
      <c r="B5" s="71" t="s">
        <v>92</v>
      </c>
      <c r="C5" s="71"/>
      <c r="D5" s="46">
        <v>2552</v>
      </c>
      <c r="I5" s="40" t="s">
        <v>51</v>
      </c>
      <c r="J5" s="41">
        <v>35256</v>
      </c>
    </row>
    <row r="6" spans="2:12" x14ac:dyDescent="0.25">
      <c r="B6" s="71" t="s">
        <v>95</v>
      </c>
      <c r="C6" s="71"/>
      <c r="D6" s="47">
        <v>1.4999999999999999E-2</v>
      </c>
    </row>
    <row r="7" spans="2:12" x14ac:dyDescent="0.25">
      <c r="B7" s="73" t="s">
        <v>50</v>
      </c>
      <c r="C7" s="74"/>
      <c r="D7" s="47">
        <f>POWER(1+D6,1/12)-1</f>
        <v>1.2414877164492744E-3</v>
      </c>
    </row>
    <row r="8" spans="2:12" x14ac:dyDescent="0.25">
      <c r="B8" s="71" t="s">
        <v>49</v>
      </c>
      <c r="C8" s="71"/>
      <c r="D8" s="48">
        <v>20</v>
      </c>
      <c r="G8">
        <f>D8*12</f>
        <v>240</v>
      </c>
      <c r="H8" t="s">
        <v>47</v>
      </c>
    </row>
    <row r="9" spans="2:12" x14ac:dyDescent="0.25">
      <c r="B9" s="72" t="s">
        <v>94</v>
      </c>
      <c r="C9" s="72"/>
      <c r="D9" s="49">
        <f>-PMT(D7,G8,D5,0,0)</f>
        <v>12.30257367144563</v>
      </c>
      <c r="G9" s="51"/>
    </row>
    <row r="10" spans="2:12" x14ac:dyDescent="0.25">
      <c r="B10" s="72" t="s">
        <v>93</v>
      </c>
      <c r="C10" s="72"/>
      <c r="D10" s="49">
        <f>D9*J5</f>
        <v>433739.53736048716</v>
      </c>
      <c r="G10" s="51"/>
    </row>
    <row r="11" spans="2:12" x14ac:dyDescent="0.25">
      <c r="B11" s="72" t="s">
        <v>96</v>
      </c>
      <c r="C11" s="72"/>
      <c r="D11" s="49">
        <f>G8*D9</f>
        <v>2952.6176811469513</v>
      </c>
      <c r="G11" s="63">
        <v>1</v>
      </c>
      <c r="H11" s="39" t="s">
        <v>98</v>
      </c>
      <c r="I11" s="38"/>
    </row>
    <row r="12" spans="2:12" x14ac:dyDescent="0.25">
      <c r="B12" s="72" t="s">
        <v>61</v>
      </c>
      <c r="C12" s="72"/>
      <c r="D12" s="49">
        <f>D11-D5</f>
        <v>400.61768114695133</v>
      </c>
    </row>
    <row r="13" spans="2:12" x14ac:dyDescent="0.25">
      <c r="G13" s="70"/>
      <c r="H13">
        <v>15</v>
      </c>
      <c r="I13">
        <v>18</v>
      </c>
      <c r="J13">
        <v>20</v>
      </c>
      <c r="K13">
        <v>21</v>
      </c>
      <c r="L13">
        <v>22</v>
      </c>
    </row>
    <row r="14" spans="2:12" x14ac:dyDescent="0.25">
      <c r="G14" s="62">
        <v>0.01</v>
      </c>
    </row>
    <row r="15" spans="2:12" x14ac:dyDescent="0.25">
      <c r="G15" s="62">
        <v>1.2E-2</v>
      </c>
    </row>
    <row r="16" spans="2:12" x14ac:dyDescent="0.25">
      <c r="G16" s="62">
        <v>1.4999999999999999E-2</v>
      </c>
    </row>
    <row r="17" spans="7:12" x14ac:dyDescent="0.25">
      <c r="G17" s="62">
        <v>1.7999999999999999E-2</v>
      </c>
    </row>
    <row r="18" spans="7:12" x14ac:dyDescent="0.25">
      <c r="G18" s="62">
        <v>0.02</v>
      </c>
    </row>
    <row r="20" spans="7:12" x14ac:dyDescent="0.25">
      <c r="G20" s="63">
        <v>2</v>
      </c>
      <c r="H20" s="39" t="s">
        <v>99</v>
      </c>
    </row>
    <row r="22" spans="7:12" x14ac:dyDescent="0.25">
      <c r="G22" s="70"/>
      <c r="H22">
        <v>15</v>
      </c>
      <c r="I22">
        <v>18</v>
      </c>
      <c r="J22">
        <v>20</v>
      </c>
      <c r="K22">
        <v>21</v>
      </c>
      <c r="L22">
        <v>22</v>
      </c>
    </row>
    <row r="23" spans="7:12" x14ac:dyDescent="0.25">
      <c r="G23" s="62">
        <v>0.01</v>
      </c>
    </row>
    <row r="24" spans="7:12" x14ac:dyDescent="0.25">
      <c r="G24" s="62">
        <v>1.2E-2</v>
      </c>
    </row>
    <row r="25" spans="7:12" x14ac:dyDescent="0.25">
      <c r="G25" s="62">
        <v>1.4999999999999999E-2</v>
      </c>
    </row>
    <row r="26" spans="7:12" x14ac:dyDescent="0.25">
      <c r="G26" s="62">
        <v>1.7999999999999999E-2</v>
      </c>
    </row>
    <row r="27" spans="7:12" x14ac:dyDescent="0.25">
      <c r="G27" s="62">
        <v>0.02</v>
      </c>
    </row>
  </sheetData>
  <mergeCells count="8">
    <mergeCell ref="B7:C7"/>
    <mergeCell ref="B11:C11"/>
    <mergeCell ref="B12:C12"/>
    <mergeCell ref="B5:C5"/>
    <mergeCell ref="B6:C6"/>
    <mergeCell ref="B8:C8"/>
    <mergeCell ref="B9:C9"/>
    <mergeCell ref="B10:C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ED0AF-3182-476F-9184-C3E6311D09DF}">
  <dimension ref="B2:H15"/>
  <sheetViews>
    <sheetView workbookViewId="0">
      <selection activeCell="E21" sqref="E21"/>
    </sheetView>
  </sheetViews>
  <sheetFormatPr baseColWidth="10" defaultRowHeight="15" x14ac:dyDescent="0.25"/>
  <cols>
    <col min="3" max="3" width="13.42578125" customWidth="1"/>
    <col min="5" max="6" width="12" bestFit="1" customWidth="1"/>
  </cols>
  <sheetData>
    <row r="2" spans="2:8" x14ac:dyDescent="0.25">
      <c r="B2" t="s">
        <v>76</v>
      </c>
    </row>
    <row r="3" spans="2:8" x14ac:dyDescent="0.25">
      <c r="B3" t="s">
        <v>78</v>
      </c>
    </row>
    <row r="5" spans="2:8" x14ac:dyDescent="0.25">
      <c r="B5" s="58"/>
      <c r="C5" s="58" t="s">
        <v>71</v>
      </c>
      <c r="D5" s="58" t="s">
        <v>72</v>
      </c>
      <c r="E5" s="58" t="s">
        <v>73</v>
      </c>
      <c r="F5" s="58" t="s">
        <v>74</v>
      </c>
      <c r="G5" s="58" t="s">
        <v>75</v>
      </c>
      <c r="H5" s="58" t="s">
        <v>77</v>
      </c>
    </row>
    <row r="6" spans="2:8" x14ac:dyDescent="0.25">
      <c r="B6" s="58" t="s">
        <v>63</v>
      </c>
      <c r="C6" s="55">
        <v>3200000</v>
      </c>
      <c r="D6" s="55">
        <v>2800000</v>
      </c>
      <c r="E6" s="55">
        <v>3550000</v>
      </c>
      <c r="F6" s="55">
        <v>2745000</v>
      </c>
      <c r="G6" s="59">
        <v>0</v>
      </c>
      <c r="H6" s="56">
        <f>AVERAGE(C6:G6)</f>
        <v>2459000</v>
      </c>
    </row>
    <row r="9" spans="2:8" x14ac:dyDescent="0.25">
      <c r="B9" t="s">
        <v>81</v>
      </c>
    </row>
    <row r="10" spans="2:8" x14ac:dyDescent="0.25">
      <c r="B10" t="s">
        <v>82</v>
      </c>
    </row>
    <row r="12" spans="2:8" x14ac:dyDescent="0.25">
      <c r="B12" s="58"/>
    </row>
    <row r="13" spans="2:8" x14ac:dyDescent="0.25">
      <c r="B13" s="58" t="s">
        <v>63</v>
      </c>
      <c r="C13" s="51">
        <v>12300000</v>
      </c>
    </row>
    <row r="14" spans="2:8" x14ac:dyDescent="0.25">
      <c r="B14" t="s">
        <v>80</v>
      </c>
      <c r="C14" s="60">
        <v>0.12</v>
      </c>
    </row>
    <row r="15" spans="2:8" x14ac:dyDescent="0.25">
      <c r="B15" t="s">
        <v>79</v>
      </c>
      <c r="C15" s="26">
        <f>C13*C14</f>
        <v>1476000</v>
      </c>
    </row>
  </sheetData>
  <phoneticPr fontId="1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0A078-3BFB-42C6-934E-C3E617E40AC7}">
  <dimension ref="B2:K19"/>
  <sheetViews>
    <sheetView showGridLines="0" zoomScale="120" zoomScaleNormal="120" workbookViewId="0">
      <selection activeCell="L9" sqref="L9"/>
    </sheetView>
  </sheetViews>
  <sheetFormatPr baseColWidth="10" defaultRowHeight="15" x14ac:dyDescent="0.25"/>
  <cols>
    <col min="1" max="1" width="7" customWidth="1"/>
    <col min="2" max="2" width="8.42578125" customWidth="1"/>
    <col min="4" max="4" width="18.5703125" customWidth="1"/>
    <col min="5" max="5" width="5.85546875" customWidth="1"/>
    <col min="6" max="6" width="2" bestFit="1" customWidth="1"/>
    <col min="7" max="7" width="19.28515625" customWidth="1"/>
    <col min="8" max="8" width="10" customWidth="1"/>
    <col min="9" max="9" width="12.7109375" customWidth="1"/>
  </cols>
  <sheetData>
    <row r="2" spans="2:11" x14ac:dyDescent="0.25">
      <c r="B2" s="1" t="s">
        <v>53</v>
      </c>
    </row>
    <row r="3" spans="2:11" x14ac:dyDescent="0.25">
      <c r="B3" t="s">
        <v>52</v>
      </c>
    </row>
    <row r="5" spans="2:11" x14ac:dyDescent="0.25">
      <c r="K5" s="26"/>
    </row>
    <row r="6" spans="2:11" x14ac:dyDescent="0.25">
      <c r="B6" s="71" t="s">
        <v>92</v>
      </c>
      <c r="C6" s="71"/>
      <c r="D6" s="46">
        <v>2552</v>
      </c>
      <c r="I6" s="40" t="s">
        <v>51</v>
      </c>
      <c r="J6" s="41">
        <v>35256</v>
      </c>
    </row>
    <row r="7" spans="2:11" x14ac:dyDescent="0.25">
      <c r="B7" s="71" t="s">
        <v>95</v>
      </c>
      <c r="C7" s="71"/>
      <c r="D7" s="47">
        <v>1.4999999999999999E-2</v>
      </c>
    </row>
    <row r="8" spans="2:11" x14ac:dyDescent="0.25">
      <c r="B8" s="73" t="s">
        <v>50</v>
      </c>
      <c r="C8" s="74"/>
      <c r="D8" s="47">
        <f>POWER(1+D7,1/12)-1</f>
        <v>1.2414877164492744E-3</v>
      </c>
    </row>
    <row r="9" spans="2:11" x14ac:dyDescent="0.25">
      <c r="B9" s="71" t="s">
        <v>49</v>
      </c>
      <c r="C9" s="71"/>
      <c r="D9" s="48">
        <v>20</v>
      </c>
      <c r="E9" t="s">
        <v>43</v>
      </c>
      <c r="F9" t="s">
        <v>48</v>
      </c>
      <c r="G9">
        <f>D9*12</f>
        <v>240</v>
      </c>
      <c r="H9" t="s">
        <v>47</v>
      </c>
    </row>
    <row r="10" spans="2:11" x14ac:dyDescent="0.25">
      <c r="B10" s="72" t="s">
        <v>94</v>
      </c>
      <c r="C10" s="72"/>
      <c r="D10" s="49">
        <f>-PMT(D8,G9,D6,0,0)</f>
        <v>12.30257367144563</v>
      </c>
      <c r="G10" s="51"/>
    </row>
    <row r="11" spans="2:11" x14ac:dyDescent="0.25">
      <c r="B11" s="72" t="s">
        <v>93</v>
      </c>
      <c r="C11" s="72"/>
      <c r="D11" s="49">
        <f>D10*J6</f>
        <v>433739.53736048716</v>
      </c>
      <c r="G11" s="51"/>
    </row>
    <row r="12" spans="2:11" x14ac:dyDescent="0.25">
      <c r="H12" s="39"/>
      <c r="I12" s="38"/>
    </row>
    <row r="13" spans="2:11" x14ac:dyDescent="0.25">
      <c r="B13" s="1" t="s">
        <v>54</v>
      </c>
      <c r="I13" s="38"/>
    </row>
    <row r="14" spans="2:11" x14ac:dyDescent="0.25">
      <c r="B14" t="s">
        <v>57</v>
      </c>
      <c r="I14" s="38"/>
    </row>
    <row r="15" spans="2:11" x14ac:dyDescent="0.25">
      <c r="B15" s="42"/>
      <c r="C15" s="43"/>
      <c r="D15" s="44"/>
      <c r="I15" s="38"/>
    </row>
    <row r="16" spans="2:11" x14ac:dyDescent="0.25">
      <c r="B16" s="64" t="s">
        <v>56</v>
      </c>
      <c r="C16" s="64"/>
      <c r="D16" s="48">
        <f>G9</f>
        <v>240</v>
      </c>
      <c r="G16" s="48" t="s">
        <v>59</v>
      </c>
      <c r="H16" s="52">
        <v>400.61768114695133</v>
      </c>
      <c r="I16" s="38"/>
    </row>
    <row r="17" spans="2:9" x14ac:dyDescent="0.25">
      <c r="B17" s="65" t="s">
        <v>62</v>
      </c>
      <c r="C17" s="66"/>
      <c r="D17" s="45">
        <f>G9*D10</f>
        <v>2952.6176811469513</v>
      </c>
      <c r="G17" s="48" t="s">
        <v>60</v>
      </c>
      <c r="H17" s="52"/>
      <c r="I17" s="38"/>
    </row>
    <row r="18" spans="2:9" x14ac:dyDescent="0.25">
      <c r="B18" s="64" t="s">
        <v>61</v>
      </c>
      <c r="C18" s="64"/>
      <c r="D18" s="50">
        <f>D17-D6</f>
        <v>400.61768114695133</v>
      </c>
      <c r="G18" s="48" t="s">
        <v>58</v>
      </c>
      <c r="H18" s="47"/>
    </row>
    <row r="19" spans="2:9" x14ac:dyDescent="0.25">
      <c r="B19" s="64" t="s">
        <v>55</v>
      </c>
      <c r="C19" s="64"/>
      <c r="D19" s="47">
        <f>D18/D17</f>
        <v>0.13568220623515687</v>
      </c>
    </row>
  </sheetData>
  <mergeCells count="10">
    <mergeCell ref="B18:C18"/>
    <mergeCell ref="B19:C19"/>
    <mergeCell ref="B17:C17"/>
    <mergeCell ref="B6:C6"/>
    <mergeCell ref="B7:C7"/>
    <mergeCell ref="B9:C9"/>
    <mergeCell ref="B10:C10"/>
    <mergeCell ref="B16:C16"/>
    <mergeCell ref="B11:C11"/>
    <mergeCell ref="B8:C8"/>
  </mergeCells>
  <phoneticPr fontId="1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BE32C-CB41-48B0-8DD1-8C1758E08DC3}">
  <dimension ref="A2:H31"/>
  <sheetViews>
    <sheetView workbookViewId="0">
      <selection activeCell="M22" sqref="M22"/>
    </sheetView>
  </sheetViews>
  <sheetFormatPr baseColWidth="10" defaultRowHeight="15" x14ac:dyDescent="0.25"/>
  <cols>
    <col min="1" max="2" width="2.7109375" customWidth="1"/>
    <col min="3" max="3" width="35" bestFit="1" customWidth="1"/>
    <col min="4" max="5" width="17.7109375" customWidth="1"/>
    <col min="6" max="6" width="20.5703125" customWidth="1"/>
    <col min="7" max="7" width="7.85546875" customWidth="1"/>
    <col min="8" max="8" width="31.42578125" customWidth="1"/>
  </cols>
  <sheetData>
    <row r="2" spans="1:8" ht="15.75" customHeight="1" x14ac:dyDescent="0.3">
      <c r="A2" s="17"/>
    </row>
    <row r="3" spans="1:8" x14ac:dyDescent="0.25">
      <c r="A3" s="3"/>
    </row>
    <row r="4" spans="1:8" x14ac:dyDescent="0.25">
      <c r="A4" s="3"/>
      <c r="F4" s="20" t="s">
        <v>20</v>
      </c>
    </row>
    <row r="5" spans="1:8" ht="15.75" x14ac:dyDescent="0.25">
      <c r="A5" s="3"/>
      <c r="C5" t="s">
        <v>34</v>
      </c>
      <c r="E5" s="19">
        <v>637</v>
      </c>
      <c r="F5" s="22" t="s">
        <v>21</v>
      </c>
    </row>
    <row r="6" spans="1:8" x14ac:dyDescent="0.25">
      <c r="A6" s="3"/>
      <c r="H6" s="63">
        <v>1</v>
      </c>
    </row>
    <row r="7" spans="1:8" x14ac:dyDescent="0.25">
      <c r="H7" t="s">
        <v>86</v>
      </c>
    </row>
    <row r="8" spans="1:8" x14ac:dyDescent="0.25">
      <c r="A8" s="15" t="s">
        <v>17</v>
      </c>
      <c r="B8" s="16"/>
      <c r="C8" s="16"/>
      <c r="D8" s="16" t="s">
        <v>2</v>
      </c>
      <c r="E8" s="16" t="s">
        <v>35</v>
      </c>
    </row>
    <row r="9" spans="1:8" x14ac:dyDescent="0.25">
      <c r="C9" t="s">
        <v>0</v>
      </c>
      <c r="D9">
        <f>E9</f>
        <v>167</v>
      </c>
      <c r="E9" s="21">
        <v>167</v>
      </c>
      <c r="F9" s="22" t="s">
        <v>22</v>
      </c>
      <c r="H9" t="s">
        <v>87</v>
      </c>
    </row>
    <row r="10" spans="1:8" x14ac:dyDescent="0.25">
      <c r="B10" s="4"/>
      <c r="C10" s="4" t="s">
        <v>1</v>
      </c>
      <c r="D10" s="23">
        <v>42500</v>
      </c>
      <c r="E10" s="24">
        <f>PrecioVenta*CambioDolar</f>
        <v>27072500</v>
      </c>
      <c r="F10" s="22" t="s">
        <v>23</v>
      </c>
      <c r="H10" t="s">
        <v>88</v>
      </c>
    </row>
    <row r="11" spans="1:8" x14ac:dyDescent="0.25">
      <c r="B11" s="1" t="s">
        <v>3</v>
      </c>
      <c r="D11" s="12">
        <f>D9*D10</f>
        <v>7097500</v>
      </c>
      <c r="E11" s="32">
        <f>E9*E10</f>
        <v>4521107500</v>
      </c>
      <c r="F11" s="22" t="s">
        <v>31</v>
      </c>
      <c r="H11" t="s">
        <v>89</v>
      </c>
    </row>
    <row r="12" spans="1:8" x14ac:dyDescent="0.25">
      <c r="B12" s="1"/>
    </row>
    <row r="13" spans="1:8" x14ac:dyDescent="0.25">
      <c r="A13" s="15" t="s">
        <v>16</v>
      </c>
      <c r="B13" s="16"/>
      <c r="C13" s="16"/>
      <c r="D13" s="16"/>
      <c r="E13" s="16"/>
    </row>
    <row r="14" spans="1:8" x14ac:dyDescent="0.25">
      <c r="A14" s="1"/>
    </row>
    <row r="15" spans="1:8" x14ac:dyDescent="0.25">
      <c r="B15" s="1" t="s">
        <v>4</v>
      </c>
      <c r="H15" s="63">
        <v>2</v>
      </c>
    </row>
    <row r="16" spans="1:8" x14ac:dyDescent="0.25">
      <c r="C16" t="s">
        <v>5</v>
      </c>
      <c r="D16" s="25">
        <f>E16/$E$5</f>
        <v>27541.517857142859</v>
      </c>
      <c r="E16" s="26">
        <v>17543946.875</v>
      </c>
      <c r="F16" s="22" t="s">
        <v>24</v>
      </c>
      <c r="H16" t="s">
        <v>90</v>
      </c>
    </row>
    <row r="17" spans="1:8" x14ac:dyDescent="0.25">
      <c r="C17" t="s">
        <v>6</v>
      </c>
      <c r="D17" s="25">
        <f>E17/$E$5</f>
        <v>150.80357142857144</v>
      </c>
      <c r="E17" s="26">
        <v>96061.875000000015</v>
      </c>
      <c r="F17" s="22" t="s">
        <v>25</v>
      </c>
    </row>
    <row r="18" spans="1:8" x14ac:dyDescent="0.25">
      <c r="C18" s="4" t="s">
        <v>7</v>
      </c>
      <c r="D18" s="10">
        <f>E18/$E$5</f>
        <v>1396.6964285714287</v>
      </c>
      <c r="E18" s="27">
        <v>889695.62500000012</v>
      </c>
      <c r="F18" s="22" t="s">
        <v>26</v>
      </c>
      <c r="H18" t="s">
        <v>87</v>
      </c>
    </row>
    <row r="19" spans="1:8" x14ac:dyDescent="0.25">
      <c r="C19" s="9" t="s">
        <v>18</v>
      </c>
      <c r="D19" s="8">
        <f>E19/$E$5</f>
        <v>29089.017857142859</v>
      </c>
      <c r="E19" s="31">
        <f>SUM(E16:E18)</f>
        <v>18529704.375</v>
      </c>
      <c r="H19" t="s">
        <v>88</v>
      </c>
    </row>
    <row r="20" spans="1:8" x14ac:dyDescent="0.25">
      <c r="C20" s="2" t="s">
        <v>9</v>
      </c>
      <c r="D20" s="12">
        <f>E20/$E$5</f>
        <v>4857865.9821428573</v>
      </c>
      <c r="E20" s="32">
        <f>E19*E$9</f>
        <v>3094460630.625</v>
      </c>
      <c r="F20" s="22"/>
      <c r="H20" t="s">
        <v>89</v>
      </c>
    </row>
    <row r="21" spans="1:8" x14ac:dyDescent="0.25">
      <c r="C21" s="2"/>
    </row>
    <row r="22" spans="1:8" x14ac:dyDescent="0.25">
      <c r="B22" s="1" t="s">
        <v>10</v>
      </c>
    </row>
    <row r="23" spans="1:8" x14ac:dyDescent="0.25">
      <c r="C23" t="s">
        <v>11</v>
      </c>
      <c r="D23" s="8">
        <f>E23/$E$5</f>
        <v>322769.28571428574</v>
      </c>
      <c r="E23" s="28">
        <v>205604035.00000003</v>
      </c>
      <c r="F23" s="22" t="s">
        <v>27</v>
      </c>
      <c r="H23" s="63">
        <v>3</v>
      </c>
    </row>
    <row r="24" spans="1:8" x14ac:dyDescent="0.25">
      <c r="C24" t="s">
        <v>12</v>
      </c>
      <c r="D24" s="8">
        <f>E24/$E$5</f>
        <v>682608.0357142858</v>
      </c>
      <c r="E24" s="28">
        <v>434821318.75000006</v>
      </c>
      <c r="F24" s="22" t="s">
        <v>28</v>
      </c>
      <c r="H24" t="s">
        <v>91</v>
      </c>
    </row>
    <row r="25" spans="1:8" x14ac:dyDescent="0.25">
      <c r="C25" t="s">
        <v>13</v>
      </c>
      <c r="D25" s="8">
        <f>E25/$E$5</f>
        <v>312500</v>
      </c>
      <c r="E25" s="28">
        <v>199062500</v>
      </c>
      <c r="F25" s="22" t="s">
        <v>29</v>
      </c>
    </row>
    <row r="26" spans="1:8" x14ac:dyDescent="0.25">
      <c r="C26" s="5" t="s">
        <v>14</v>
      </c>
      <c r="D26" s="11">
        <f>E26/$E$5</f>
        <v>133928.57142857145</v>
      </c>
      <c r="E26" s="29">
        <v>85312500.000000015</v>
      </c>
      <c r="F26" s="22" t="s">
        <v>30</v>
      </c>
      <c r="H26" t="s">
        <v>87</v>
      </c>
    </row>
    <row r="27" spans="1:8" x14ac:dyDescent="0.25">
      <c r="C27" s="7" t="s">
        <v>15</v>
      </c>
      <c r="D27" s="13">
        <f>E27/$E$5</f>
        <v>1451805.892857143</v>
      </c>
      <c r="E27" s="30">
        <f>SUM(E23:E26)</f>
        <v>924800353.75000012</v>
      </c>
      <c r="H27" t="s">
        <v>88</v>
      </c>
    </row>
    <row r="28" spans="1:8" x14ac:dyDescent="0.25">
      <c r="B28" s="4"/>
      <c r="C28" s="6"/>
      <c r="D28" s="4"/>
      <c r="E28" s="4"/>
      <c r="H28" t="s">
        <v>89</v>
      </c>
    </row>
    <row r="29" spans="1:8" x14ac:dyDescent="0.25">
      <c r="B29" s="1" t="s">
        <v>8</v>
      </c>
      <c r="D29" s="14">
        <f>D27+D20</f>
        <v>6309671.875</v>
      </c>
      <c r="E29" s="33">
        <f>E27+E20</f>
        <v>4019260984.375</v>
      </c>
      <c r="F29" s="22" t="s">
        <v>32</v>
      </c>
    </row>
    <row r="31" spans="1:8" x14ac:dyDescent="0.25">
      <c r="A31" s="15" t="s">
        <v>19</v>
      </c>
      <c r="B31" s="15"/>
      <c r="C31" s="15"/>
      <c r="D31" s="18">
        <f>(D11-D29)/D29</f>
        <v>0.1248603953751557</v>
      </c>
      <c r="E31" s="18">
        <f>(E11-E29)/E29</f>
        <v>0.1248603953751557</v>
      </c>
      <c r="F31" s="22" t="s">
        <v>33</v>
      </c>
    </row>
  </sheetData>
  <scenarios current="0" show="0" sqref="E11 E29 E31">
    <scenario name="ProducciónOptimista" locked="1" count="3" user="JV" comment="Creado por JV el 20/01/2014_x000a_Modificado por JV el 20/01/2014">
      <inputCells r="E16" val="300000" numFmtId="165"/>
      <inputCells r="E17" val="1500" numFmtId="165"/>
      <inputCells r="E18" val="15000" numFmtId="165"/>
    </scenario>
    <scenario name="ProducciónPesimista" locked="1" count="3" user="JV" comment="Creado por JV el 20/01/2014">
      <inputCells r="E16" val="320000" numFmtId="165"/>
      <inputCells r="E17" val="1800" numFmtId="165"/>
      <inputCells r="E18" val="16000" numFmtId="165"/>
    </scenario>
    <scenario name="ComercialPesimista" locked="1" count="3" user="JV" comment="Creado por JV el 20/01/2014_x000a_Modificado por JV el 20/01/2014">
      <inputCells r="E5" val="10,8"/>
      <inputCells r="E9" val="120"/>
      <inputCells r="D10" val="40000" numFmtId="165"/>
    </scenario>
    <scenario name="ComercialOptimista" locked="1" count="3" user="JV" comment="Creado por JV el 20/01/2014">
      <inputCells r="E5" val="11,5"/>
      <inputCells r="E9" val="200"/>
      <inputCells r="D10" val="42500" numFmtId="165"/>
    </scenario>
  </scenario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CA3A7-D9E0-4560-894F-366CE6F8670F}">
  <dimension ref="A1:K9"/>
  <sheetViews>
    <sheetView showGridLines="0" zoomScale="110" zoomScaleNormal="110" workbookViewId="0">
      <selection activeCell="B9" sqref="B9"/>
    </sheetView>
  </sheetViews>
  <sheetFormatPr baseColWidth="10" defaultRowHeight="15" x14ac:dyDescent="0.25"/>
  <cols>
    <col min="3" max="3" width="11.85546875" bestFit="1" customWidth="1"/>
  </cols>
  <sheetData>
    <row r="1" spans="1:11" x14ac:dyDescent="0.25">
      <c r="A1" s="68" t="s">
        <v>46</v>
      </c>
      <c r="B1" s="68"/>
      <c r="C1" s="37">
        <v>-1500</v>
      </c>
    </row>
    <row r="2" spans="1:11" x14ac:dyDescent="0.25">
      <c r="A2" s="68" t="s">
        <v>45</v>
      </c>
      <c r="B2" s="68"/>
      <c r="C2" s="36">
        <v>0.15</v>
      </c>
    </row>
    <row r="3" spans="1:11" x14ac:dyDescent="0.25">
      <c r="A3" s="68" t="s">
        <v>44</v>
      </c>
      <c r="B3" s="68"/>
      <c r="C3" s="35">
        <v>2</v>
      </c>
      <c r="D3" t="s">
        <v>43</v>
      </c>
    </row>
    <row r="4" spans="1:11" x14ac:dyDescent="0.25">
      <c r="A4" s="67" t="s">
        <v>42</v>
      </c>
      <c r="B4" s="67"/>
      <c r="C4" s="34">
        <f>FV(C2,C3,0,C1)</f>
        <v>1983.7499999999998</v>
      </c>
    </row>
    <row r="7" spans="1:11" x14ac:dyDescent="0.25">
      <c r="H7" t="s">
        <v>41</v>
      </c>
      <c r="K7" t="s">
        <v>40</v>
      </c>
    </row>
    <row r="8" spans="1:11" x14ac:dyDescent="0.25">
      <c r="H8" t="s">
        <v>39</v>
      </c>
      <c r="K8" t="s">
        <v>38</v>
      </c>
    </row>
    <row r="9" spans="1:11" x14ac:dyDescent="0.25">
      <c r="H9" t="s">
        <v>37</v>
      </c>
      <c r="K9" t="s">
        <v>36</v>
      </c>
    </row>
  </sheetData>
  <mergeCells count="4">
    <mergeCell ref="A4:B4"/>
    <mergeCell ref="A1:B1"/>
    <mergeCell ref="A2:B2"/>
    <mergeCell ref="A3:B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1"/>
  <sheetViews>
    <sheetView workbookViewId="0">
      <selection activeCell="C2" sqref="C2"/>
    </sheetView>
  </sheetViews>
  <sheetFormatPr baseColWidth="10" defaultRowHeight="15" x14ac:dyDescent="0.25"/>
  <cols>
    <col min="1" max="2" width="2.7109375" customWidth="1"/>
    <col min="3" max="3" width="35" bestFit="1" customWidth="1"/>
    <col min="4" max="5" width="17.7109375" customWidth="1"/>
    <col min="9" max="9" width="16.140625" customWidth="1"/>
    <col min="10" max="12" width="12.7109375" customWidth="1"/>
  </cols>
  <sheetData>
    <row r="1" spans="1:12" ht="21" customHeight="1" x14ac:dyDescent="0.25"/>
    <row r="2" spans="1:12" ht="26.25" x14ac:dyDescent="0.4">
      <c r="A2" s="17"/>
      <c r="C2" s="84" t="s">
        <v>105</v>
      </c>
      <c r="I2" s="1" t="s">
        <v>100</v>
      </c>
    </row>
    <row r="3" spans="1:12" x14ac:dyDescent="0.25">
      <c r="A3" s="3"/>
      <c r="I3" t="s">
        <v>102</v>
      </c>
    </row>
    <row r="4" spans="1:12" ht="30" x14ac:dyDescent="0.25">
      <c r="A4" s="3"/>
      <c r="F4" s="20" t="s">
        <v>20</v>
      </c>
    </row>
    <row r="5" spans="1:12" ht="15.75" x14ac:dyDescent="0.25">
      <c r="A5" s="3"/>
      <c r="C5" t="s">
        <v>34</v>
      </c>
      <c r="E5" s="19">
        <v>637</v>
      </c>
      <c r="F5" s="22" t="s">
        <v>21</v>
      </c>
      <c r="I5" s="75"/>
      <c r="J5" s="79">
        <v>-0.1</v>
      </c>
      <c r="K5" s="80">
        <v>0</v>
      </c>
      <c r="L5" s="81">
        <v>0.1</v>
      </c>
    </row>
    <row r="6" spans="1:12" x14ac:dyDescent="0.25">
      <c r="A6" s="3"/>
      <c r="I6" s="76" t="s">
        <v>23</v>
      </c>
      <c r="J6" s="77">
        <f>K6*(1+$J$5)</f>
        <v>38250</v>
      </c>
      <c r="K6" s="78">
        <v>42500</v>
      </c>
      <c r="L6" s="77">
        <f>K6*(1+$L$5)</f>
        <v>46750.000000000007</v>
      </c>
    </row>
    <row r="7" spans="1:12" x14ac:dyDescent="0.25">
      <c r="I7" s="76" t="s">
        <v>22</v>
      </c>
      <c r="J7" s="82">
        <f>K7*(1+$J$5)</f>
        <v>147.6</v>
      </c>
      <c r="K7" s="83">
        <v>164</v>
      </c>
      <c r="L7" s="82">
        <f>K7*(1+$L$5)</f>
        <v>180.4</v>
      </c>
    </row>
    <row r="8" spans="1:12" x14ac:dyDescent="0.25">
      <c r="A8" s="15" t="s">
        <v>17</v>
      </c>
      <c r="B8" s="16"/>
      <c r="C8" s="16"/>
      <c r="D8" s="16" t="s">
        <v>2</v>
      </c>
      <c r="E8" s="16" t="s">
        <v>35</v>
      </c>
    </row>
    <row r="9" spans="1:12" x14ac:dyDescent="0.25">
      <c r="C9" t="s">
        <v>0</v>
      </c>
      <c r="D9">
        <f>E9</f>
        <v>164</v>
      </c>
      <c r="E9" s="21">
        <v>164</v>
      </c>
      <c r="F9" s="22" t="s">
        <v>22</v>
      </c>
    </row>
    <row r="10" spans="1:12" x14ac:dyDescent="0.25">
      <c r="B10" s="4"/>
      <c r="C10" s="4" t="s">
        <v>1</v>
      </c>
      <c r="D10" s="23">
        <v>42500</v>
      </c>
      <c r="E10" s="24">
        <f>D10*E5</f>
        <v>27072500</v>
      </c>
      <c r="F10" s="22" t="s">
        <v>23</v>
      </c>
    </row>
    <row r="11" spans="1:12" x14ac:dyDescent="0.25">
      <c r="B11" s="1" t="s">
        <v>3</v>
      </c>
      <c r="D11" s="12">
        <f>D9*D10</f>
        <v>6970000</v>
      </c>
      <c r="E11" s="32">
        <f>E9*E10</f>
        <v>4439890000</v>
      </c>
      <c r="F11" s="22" t="s">
        <v>31</v>
      </c>
    </row>
    <row r="12" spans="1:12" x14ac:dyDescent="0.25">
      <c r="B12" s="1"/>
    </row>
    <row r="13" spans="1:12" x14ac:dyDescent="0.25">
      <c r="A13" s="15" t="s">
        <v>16</v>
      </c>
      <c r="B13" s="16"/>
      <c r="C13" s="16"/>
      <c r="D13" s="16"/>
      <c r="E13" s="16"/>
    </row>
    <row r="14" spans="1:12" x14ac:dyDescent="0.25">
      <c r="A14" s="1"/>
    </row>
    <row r="15" spans="1:12" x14ac:dyDescent="0.25">
      <c r="B15" s="1" t="s">
        <v>4</v>
      </c>
    </row>
    <row r="16" spans="1:12" x14ac:dyDescent="0.25">
      <c r="C16" t="s">
        <v>5</v>
      </c>
      <c r="D16" s="25">
        <f t="shared" ref="D16:D20" si="0">E16/$E$5</f>
        <v>27541.517857142859</v>
      </c>
      <c r="E16" s="26">
        <v>17543946.875</v>
      </c>
      <c r="F16" s="22" t="s">
        <v>24</v>
      </c>
    </row>
    <row r="17" spans="1:6" x14ac:dyDescent="0.25">
      <c r="C17" t="s">
        <v>6</v>
      </c>
      <c r="D17" s="25">
        <f t="shared" si="0"/>
        <v>150.80357142857144</v>
      </c>
      <c r="E17" s="26">
        <v>96061.875000000015</v>
      </c>
      <c r="F17" s="22" t="s">
        <v>25</v>
      </c>
    </row>
    <row r="18" spans="1:6" x14ac:dyDescent="0.25">
      <c r="C18" s="4" t="s">
        <v>7</v>
      </c>
      <c r="D18" s="10">
        <f t="shared" si="0"/>
        <v>1396.6964285714287</v>
      </c>
      <c r="E18" s="27">
        <v>889695.62500000012</v>
      </c>
      <c r="F18" s="22" t="s">
        <v>26</v>
      </c>
    </row>
    <row r="19" spans="1:6" x14ac:dyDescent="0.25">
      <c r="C19" s="9" t="s">
        <v>18</v>
      </c>
      <c r="D19" s="8">
        <f t="shared" si="0"/>
        <v>29089.017857142859</v>
      </c>
      <c r="E19" s="31">
        <f>SUM(E16:E18)</f>
        <v>18529704.375</v>
      </c>
    </row>
    <row r="20" spans="1:6" x14ac:dyDescent="0.25">
      <c r="C20" s="2" t="s">
        <v>9</v>
      </c>
      <c r="D20" s="12">
        <f t="shared" si="0"/>
        <v>4770598.9285714282</v>
      </c>
      <c r="E20" s="32">
        <f>E19*E$9</f>
        <v>3038871517.5</v>
      </c>
      <c r="F20" s="22"/>
    </row>
    <row r="21" spans="1:6" x14ac:dyDescent="0.25">
      <c r="C21" s="2"/>
    </row>
    <row r="22" spans="1:6" x14ac:dyDescent="0.25">
      <c r="B22" s="1" t="s">
        <v>10</v>
      </c>
    </row>
    <row r="23" spans="1:6" x14ac:dyDescent="0.25">
      <c r="C23" t="s">
        <v>11</v>
      </c>
      <c r="D23" s="8">
        <f t="shared" ref="D23:D27" si="1">E23/$E$5</f>
        <v>322769.28571428574</v>
      </c>
      <c r="E23" s="28">
        <v>205604035.00000003</v>
      </c>
      <c r="F23" s="22" t="s">
        <v>27</v>
      </c>
    </row>
    <row r="24" spans="1:6" x14ac:dyDescent="0.25">
      <c r="C24" t="s">
        <v>12</v>
      </c>
      <c r="D24" s="8">
        <f t="shared" si="1"/>
        <v>682608.0357142858</v>
      </c>
      <c r="E24" s="28">
        <v>434821318.75000006</v>
      </c>
      <c r="F24" s="22" t="s">
        <v>28</v>
      </c>
    </row>
    <row r="25" spans="1:6" x14ac:dyDescent="0.25">
      <c r="C25" t="s">
        <v>13</v>
      </c>
      <c r="D25" s="8">
        <f t="shared" si="1"/>
        <v>312500</v>
      </c>
      <c r="E25" s="28">
        <v>199062500</v>
      </c>
      <c r="F25" s="22" t="s">
        <v>29</v>
      </c>
    </row>
    <row r="26" spans="1:6" x14ac:dyDescent="0.25">
      <c r="C26" s="5" t="s">
        <v>14</v>
      </c>
      <c r="D26" s="11">
        <f t="shared" si="1"/>
        <v>133928.57142857145</v>
      </c>
      <c r="E26" s="29">
        <v>85312500.000000015</v>
      </c>
      <c r="F26" s="22" t="s">
        <v>30</v>
      </c>
    </row>
    <row r="27" spans="1:6" x14ac:dyDescent="0.25">
      <c r="C27" s="7" t="s">
        <v>15</v>
      </c>
      <c r="D27" s="13">
        <f t="shared" si="1"/>
        <v>1451805.892857143</v>
      </c>
      <c r="E27" s="30">
        <f>SUM(E23:E26)</f>
        <v>924800353.75000012</v>
      </c>
    </row>
    <row r="28" spans="1:6" x14ac:dyDescent="0.25">
      <c r="B28" s="4"/>
      <c r="C28" s="6"/>
      <c r="D28" s="4"/>
      <c r="E28" s="4"/>
    </row>
    <row r="29" spans="1:6" x14ac:dyDescent="0.25">
      <c r="B29" s="1" t="s">
        <v>8</v>
      </c>
      <c r="D29" s="14">
        <f>D27+D20</f>
        <v>6222404.8214285709</v>
      </c>
      <c r="E29" s="33">
        <f>E27+E20</f>
        <v>3963671871.25</v>
      </c>
      <c r="F29" s="22" t="s">
        <v>32</v>
      </c>
    </row>
    <row r="31" spans="1:6" x14ac:dyDescent="0.25">
      <c r="A31" s="15" t="s">
        <v>19</v>
      </c>
      <c r="B31" s="15"/>
      <c r="C31" s="15"/>
      <c r="D31" s="18">
        <f>(D11-D29)/D29</f>
        <v>0.12014569929569328</v>
      </c>
      <c r="E31" s="18">
        <f>(E11-E29)/E29</f>
        <v>0.12014569929569319</v>
      </c>
      <c r="F31" s="22" t="s">
        <v>33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1"/>
  <sheetViews>
    <sheetView workbookViewId="0">
      <selection activeCell="C2" sqref="C2"/>
    </sheetView>
  </sheetViews>
  <sheetFormatPr baseColWidth="10" defaultRowHeight="15" x14ac:dyDescent="0.25"/>
  <cols>
    <col min="1" max="2" width="2.7109375" customWidth="1"/>
    <col min="3" max="3" width="35" bestFit="1" customWidth="1"/>
    <col min="4" max="5" width="17.7109375" customWidth="1"/>
    <col min="6" max="7" width="15" customWidth="1"/>
    <col min="8" max="8" width="20.28515625" customWidth="1"/>
    <col min="9" max="9" width="17.140625" customWidth="1"/>
    <col min="10" max="10" width="16.28515625" customWidth="1"/>
    <col min="11" max="11" width="15.28515625" customWidth="1"/>
  </cols>
  <sheetData>
    <row r="1" spans="1:11" ht="20.25" customHeight="1" x14ac:dyDescent="0.25"/>
    <row r="2" spans="1:11" ht="26.25" x14ac:dyDescent="0.4">
      <c r="A2" s="17"/>
      <c r="C2" s="84" t="s">
        <v>104</v>
      </c>
      <c r="H2" s="1" t="s">
        <v>100</v>
      </c>
    </row>
    <row r="3" spans="1:11" x14ac:dyDescent="0.25">
      <c r="A3" s="3"/>
      <c r="H3" t="s">
        <v>101</v>
      </c>
    </row>
    <row r="4" spans="1:11" x14ac:dyDescent="0.25">
      <c r="A4" s="3"/>
      <c r="F4" s="20" t="s">
        <v>20</v>
      </c>
    </row>
    <row r="5" spans="1:11" ht="15.75" x14ac:dyDescent="0.25">
      <c r="A5" s="3"/>
      <c r="C5" t="s">
        <v>34</v>
      </c>
      <c r="E5" s="19">
        <v>637</v>
      </c>
      <c r="F5" s="22" t="s">
        <v>21</v>
      </c>
      <c r="G5" s="22"/>
      <c r="I5" s="79">
        <v>-0.1</v>
      </c>
      <c r="J5" s="80">
        <v>0</v>
      </c>
      <c r="K5" s="81">
        <v>0.1</v>
      </c>
    </row>
    <row r="6" spans="1:11" x14ac:dyDescent="0.25">
      <c r="A6" s="3"/>
      <c r="H6" s="76" t="s">
        <v>27</v>
      </c>
      <c r="I6" s="77">
        <f>J6*(1+$I$5)</f>
        <v>185043631.50000003</v>
      </c>
      <c r="J6" s="78">
        <v>205604035.00000003</v>
      </c>
      <c r="K6" s="77">
        <f>J6*(1+$K$5)</f>
        <v>226164438.50000006</v>
      </c>
    </row>
    <row r="7" spans="1:11" x14ac:dyDescent="0.25">
      <c r="H7" s="76" t="s">
        <v>28</v>
      </c>
      <c r="I7" s="77">
        <f t="shared" ref="I7:I9" si="0">J7*(1+$I$5)</f>
        <v>391339186.87500006</v>
      </c>
      <c r="J7" s="78">
        <v>434821318.75000006</v>
      </c>
      <c r="K7" s="77">
        <f t="shared" ref="K7:K9" si="1">J7*(1+$K$5)</f>
        <v>478303450.62500012</v>
      </c>
    </row>
    <row r="8" spans="1:11" x14ac:dyDescent="0.25">
      <c r="A8" s="15" t="s">
        <v>17</v>
      </c>
      <c r="B8" s="16"/>
      <c r="C8" s="16"/>
      <c r="D8" s="16" t="s">
        <v>2</v>
      </c>
      <c r="E8" s="16" t="s">
        <v>35</v>
      </c>
      <c r="H8" s="76" t="s">
        <v>29</v>
      </c>
      <c r="I8" s="77">
        <f t="shared" si="0"/>
        <v>179156250</v>
      </c>
      <c r="J8" s="78">
        <v>199062500</v>
      </c>
      <c r="K8" s="77">
        <f t="shared" si="1"/>
        <v>218968750.00000003</v>
      </c>
    </row>
    <row r="9" spans="1:11" x14ac:dyDescent="0.25">
      <c r="C9" t="s">
        <v>0</v>
      </c>
      <c r="D9">
        <f>E9</f>
        <v>164</v>
      </c>
      <c r="E9" s="21">
        <v>164</v>
      </c>
      <c r="F9" s="22" t="s">
        <v>22</v>
      </c>
      <c r="G9" s="22"/>
      <c r="H9" s="76" t="s">
        <v>30</v>
      </c>
      <c r="I9" s="77">
        <f t="shared" si="0"/>
        <v>76781250.000000015</v>
      </c>
      <c r="J9" s="78">
        <v>85312500.000000015</v>
      </c>
      <c r="K9" s="77">
        <f t="shared" si="1"/>
        <v>93843750.00000003</v>
      </c>
    </row>
    <row r="10" spans="1:11" x14ac:dyDescent="0.25">
      <c r="B10" s="4"/>
      <c r="C10" s="4" t="s">
        <v>1</v>
      </c>
      <c r="D10" s="23">
        <v>42500</v>
      </c>
      <c r="E10" s="24">
        <f>D10*E5</f>
        <v>27072500</v>
      </c>
      <c r="F10" s="22" t="s">
        <v>23</v>
      </c>
      <c r="G10" s="22"/>
    </row>
    <row r="11" spans="1:11" x14ac:dyDescent="0.25">
      <c r="B11" s="1" t="s">
        <v>3</v>
      </c>
      <c r="D11" s="12">
        <f>D9*D10</f>
        <v>6970000</v>
      </c>
      <c r="E11" s="32">
        <f>E9*E10</f>
        <v>4439890000</v>
      </c>
      <c r="F11" s="22" t="s">
        <v>31</v>
      </c>
      <c r="G11" s="22"/>
    </row>
    <row r="12" spans="1:11" x14ac:dyDescent="0.25">
      <c r="B12" s="1"/>
    </row>
    <row r="13" spans="1:11" x14ac:dyDescent="0.25">
      <c r="A13" s="15" t="s">
        <v>16</v>
      </c>
      <c r="B13" s="16"/>
      <c r="C13" s="16"/>
      <c r="D13" s="16"/>
      <c r="E13" s="16"/>
    </row>
    <row r="14" spans="1:11" x14ac:dyDescent="0.25">
      <c r="A14" s="1"/>
    </row>
    <row r="15" spans="1:11" x14ac:dyDescent="0.25">
      <c r="B15" s="1" t="s">
        <v>4</v>
      </c>
    </row>
    <row r="16" spans="1:11" x14ac:dyDescent="0.25">
      <c r="C16" t="s">
        <v>5</v>
      </c>
      <c r="D16" s="25">
        <f t="shared" ref="D16:D20" si="2">E16/$E$5</f>
        <v>27541.517857142859</v>
      </c>
      <c r="E16" s="26">
        <v>17543946.875</v>
      </c>
      <c r="F16" s="22" t="s">
        <v>24</v>
      </c>
      <c r="G16" s="22"/>
    </row>
    <row r="17" spans="1:7" x14ac:dyDescent="0.25">
      <c r="C17" t="s">
        <v>6</v>
      </c>
      <c r="D17" s="25">
        <f t="shared" si="2"/>
        <v>150.80357142857144</v>
      </c>
      <c r="E17" s="26">
        <v>96061.875000000015</v>
      </c>
      <c r="F17" s="22" t="s">
        <v>25</v>
      </c>
      <c r="G17" s="22"/>
    </row>
    <row r="18" spans="1:7" x14ac:dyDescent="0.25">
      <c r="C18" s="4" t="s">
        <v>7</v>
      </c>
      <c r="D18" s="10">
        <f t="shared" si="2"/>
        <v>1396.6964285714287</v>
      </c>
      <c r="E18" s="27">
        <v>889695.62500000012</v>
      </c>
      <c r="F18" s="22" t="s">
        <v>26</v>
      </c>
      <c r="G18" s="22"/>
    </row>
    <row r="19" spans="1:7" x14ac:dyDescent="0.25">
      <c r="C19" s="9" t="s">
        <v>18</v>
      </c>
      <c r="D19" s="8">
        <f t="shared" si="2"/>
        <v>29089.017857142859</v>
      </c>
      <c r="E19" s="31">
        <f>SUM(E16:E18)</f>
        <v>18529704.375</v>
      </c>
    </row>
    <row r="20" spans="1:7" x14ac:dyDescent="0.25">
      <c r="C20" s="2" t="s">
        <v>9</v>
      </c>
      <c r="D20" s="12">
        <f t="shared" si="2"/>
        <v>4770598.9285714282</v>
      </c>
      <c r="E20" s="32">
        <f>E19*E$9</f>
        <v>3038871517.5</v>
      </c>
      <c r="F20" s="22"/>
      <c r="G20" s="22"/>
    </row>
    <row r="21" spans="1:7" x14ac:dyDescent="0.25">
      <c r="C21" s="2"/>
    </row>
    <row r="22" spans="1:7" x14ac:dyDescent="0.25">
      <c r="B22" s="1" t="s">
        <v>10</v>
      </c>
    </row>
    <row r="23" spans="1:7" x14ac:dyDescent="0.25">
      <c r="C23" t="s">
        <v>11</v>
      </c>
      <c r="D23" s="8">
        <f t="shared" ref="D23:D27" si="3">E23/$E$5</f>
        <v>322769.28571428574</v>
      </c>
      <c r="E23" s="28">
        <v>205604035.00000003</v>
      </c>
      <c r="F23" s="22" t="s">
        <v>27</v>
      </c>
      <c r="G23" s="22"/>
    </row>
    <row r="24" spans="1:7" x14ac:dyDescent="0.25">
      <c r="C24" t="s">
        <v>12</v>
      </c>
      <c r="D24" s="8">
        <f t="shared" si="3"/>
        <v>682608.0357142858</v>
      </c>
      <c r="E24" s="28">
        <v>434821318.75000006</v>
      </c>
      <c r="F24" s="22" t="s">
        <v>28</v>
      </c>
      <c r="G24" s="22"/>
    </row>
    <row r="25" spans="1:7" x14ac:dyDescent="0.25">
      <c r="C25" t="s">
        <v>13</v>
      </c>
      <c r="D25" s="8">
        <f t="shared" si="3"/>
        <v>312500</v>
      </c>
      <c r="E25" s="28">
        <v>199062500</v>
      </c>
      <c r="F25" s="22" t="s">
        <v>29</v>
      </c>
      <c r="G25" s="22"/>
    </row>
    <row r="26" spans="1:7" x14ac:dyDescent="0.25">
      <c r="C26" s="5" t="s">
        <v>14</v>
      </c>
      <c r="D26" s="11">
        <f t="shared" si="3"/>
        <v>133928.57142857145</v>
      </c>
      <c r="E26" s="29">
        <v>85312500.000000015</v>
      </c>
      <c r="F26" s="22" t="s">
        <v>30</v>
      </c>
      <c r="G26" s="22"/>
    </row>
    <row r="27" spans="1:7" x14ac:dyDescent="0.25">
      <c r="C27" s="7" t="s">
        <v>15</v>
      </c>
      <c r="D27" s="13">
        <f t="shared" si="3"/>
        <v>1451805.892857143</v>
      </c>
      <c r="E27" s="30">
        <f>SUM(E23:E26)</f>
        <v>924800353.75000012</v>
      </c>
    </row>
    <row r="28" spans="1:7" x14ac:dyDescent="0.25">
      <c r="B28" s="4"/>
      <c r="C28" s="6"/>
      <c r="D28" s="4"/>
      <c r="E28" s="4"/>
    </row>
    <row r="29" spans="1:7" x14ac:dyDescent="0.25">
      <c r="B29" s="1" t="s">
        <v>8</v>
      </c>
      <c r="D29" s="14">
        <f>D27+D20</f>
        <v>6222404.8214285709</v>
      </c>
      <c r="E29" s="33">
        <f>E27+E20</f>
        <v>3963671871.25</v>
      </c>
      <c r="F29" s="22" t="s">
        <v>32</v>
      </c>
      <c r="G29" s="22"/>
    </row>
    <row r="31" spans="1:7" x14ac:dyDescent="0.25">
      <c r="A31" s="15" t="s">
        <v>19</v>
      </c>
      <c r="B31" s="15"/>
      <c r="C31" s="15"/>
      <c r="D31" s="18">
        <f>(D11-D29)/D29</f>
        <v>0.12014569929569328</v>
      </c>
      <c r="E31" s="18">
        <f>(E11-E29)/E29</f>
        <v>0.12014569929569319</v>
      </c>
      <c r="F31" s="22" t="s">
        <v>33</v>
      </c>
      <c r="G31" s="22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workbookViewId="0">
      <selection activeCell="I4" sqref="I4:I5"/>
    </sheetView>
  </sheetViews>
  <sheetFormatPr baseColWidth="10" defaultRowHeight="15" x14ac:dyDescent="0.25"/>
  <cols>
    <col min="1" max="2" width="2.7109375" customWidth="1"/>
    <col min="3" max="3" width="35" bestFit="1" customWidth="1"/>
    <col min="4" max="4" width="17.7109375" customWidth="1"/>
    <col min="5" max="5" width="17.5703125" customWidth="1"/>
  </cols>
  <sheetData>
    <row r="1" spans="1:9" ht="19.5" customHeight="1" x14ac:dyDescent="0.25"/>
    <row r="2" spans="1:9" ht="26.25" x14ac:dyDescent="0.4">
      <c r="A2" s="17"/>
      <c r="C2" s="84" t="s">
        <v>106</v>
      </c>
    </row>
    <row r="3" spans="1:9" x14ac:dyDescent="0.25">
      <c r="A3" s="3"/>
    </row>
    <row r="4" spans="1:9" ht="30" x14ac:dyDescent="0.25">
      <c r="A4" s="3"/>
      <c r="F4" s="20" t="s">
        <v>20</v>
      </c>
      <c r="I4" s="1" t="s">
        <v>100</v>
      </c>
    </row>
    <row r="5" spans="1:9" ht="15.75" x14ac:dyDescent="0.25">
      <c r="A5" s="3"/>
      <c r="C5" t="s">
        <v>34</v>
      </c>
      <c r="E5" s="19">
        <v>637</v>
      </c>
      <c r="F5" s="22" t="s">
        <v>21</v>
      </c>
      <c r="I5" t="s">
        <v>103</v>
      </c>
    </row>
    <row r="6" spans="1:9" x14ac:dyDescent="0.25">
      <c r="A6" s="3"/>
    </row>
    <row r="8" spans="1:9" x14ac:dyDescent="0.25">
      <c r="A8" s="15" t="s">
        <v>17</v>
      </c>
      <c r="B8" s="16"/>
      <c r="C8" s="16"/>
      <c r="D8" s="16" t="s">
        <v>2</v>
      </c>
      <c r="E8" s="16" t="s">
        <v>35</v>
      </c>
    </row>
    <row r="9" spans="1:9" x14ac:dyDescent="0.25">
      <c r="C9" t="s">
        <v>0</v>
      </c>
      <c r="D9">
        <f>E9</f>
        <v>164</v>
      </c>
      <c r="E9" s="21">
        <v>164</v>
      </c>
      <c r="F9" s="22" t="s">
        <v>22</v>
      </c>
    </row>
    <row r="10" spans="1:9" x14ac:dyDescent="0.25">
      <c r="B10" s="4"/>
      <c r="C10" s="4" t="s">
        <v>1</v>
      </c>
      <c r="D10" s="23">
        <v>42500</v>
      </c>
      <c r="E10" s="24">
        <f>D10*E5</f>
        <v>27072500</v>
      </c>
      <c r="F10" s="22" t="s">
        <v>23</v>
      </c>
    </row>
    <row r="11" spans="1:9" x14ac:dyDescent="0.25">
      <c r="B11" s="1" t="s">
        <v>3</v>
      </c>
      <c r="D11" s="12">
        <f>D9*D10</f>
        <v>6970000</v>
      </c>
      <c r="E11" s="32">
        <f>E9*E10</f>
        <v>4439890000</v>
      </c>
      <c r="F11" s="22" t="s">
        <v>31</v>
      </c>
    </row>
    <row r="12" spans="1:9" x14ac:dyDescent="0.25">
      <c r="B12" s="1"/>
    </row>
    <row r="13" spans="1:9" x14ac:dyDescent="0.25">
      <c r="A13" s="15" t="s">
        <v>16</v>
      </c>
      <c r="B13" s="16"/>
      <c r="C13" s="16"/>
      <c r="D13" s="16"/>
      <c r="E13" s="16"/>
    </row>
    <row r="14" spans="1:9" x14ac:dyDescent="0.25">
      <c r="A14" s="1"/>
    </row>
    <row r="15" spans="1:9" x14ac:dyDescent="0.25">
      <c r="B15" s="1" t="s">
        <v>4</v>
      </c>
    </row>
    <row r="16" spans="1:9" x14ac:dyDescent="0.25">
      <c r="C16" t="s">
        <v>5</v>
      </c>
      <c r="D16" s="25">
        <f t="shared" ref="D16:D20" si="0">E16/$E$5</f>
        <v>27541.517857142859</v>
      </c>
      <c r="E16" s="26">
        <v>17543946.875</v>
      </c>
      <c r="F16" s="22" t="s">
        <v>24</v>
      </c>
    </row>
    <row r="17" spans="1:6" x14ac:dyDescent="0.25">
      <c r="C17" t="s">
        <v>6</v>
      </c>
      <c r="D17" s="25">
        <f t="shared" si="0"/>
        <v>150.80357142857144</v>
      </c>
      <c r="E17" s="26">
        <v>96061.875000000015</v>
      </c>
      <c r="F17" s="22" t="s">
        <v>25</v>
      </c>
    </row>
    <row r="18" spans="1:6" x14ac:dyDescent="0.25">
      <c r="C18" s="4" t="s">
        <v>7</v>
      </c>
      <c r="D18" s="10">
        <f t="shared" si="0"/>
        <v>1396.6964285714287</v>
      </c>
      <c r="E18" s="27">
        <v>889695.62500000012</v>
      </c>
      <c r="F18" s="22" t="s">
        <v>26</v>
      </c>
    </row>
    <row r="19" spans="1:6" x14ac:dyDescent="0.25">
      <c r="C19" s="9" t="s">
        <v>18</v>
      </c>
      <c r="D19" s="8">
        <f t="shared" si="0"/>
        <v>29089.017857142859</v>
      </c>
      <c r="E19" s="31">
        <f>SUM(E16:E18)</f>
        <v>18529704.375</v>
      </c>
    </row>
    <row r="20" spans="1:6" x14ac:dyDescent="0.25">
      <c r="C20" s="2" t="s">
        <v>9</v>
      </c>
      <c r="D20" s="12">
        <f t="shared" si="0"/>
        <v>4770598.9285714282</v>
      </c>
      <c r="E20" s="32">
        <f>E19*E$9</f>
        <v>3038871517.5</v>
      </c>
      <c r="F20" s="22"/>
    </row>
    <row r="21" spans="1:6" x14ac:dyDescent="0.25">
      <c r="C21" s="2"/>
    </row>
    <row r="22" spans="1:6" x14ac:dyDescent="0.25">
      <c r="B22" s="1" t="s">
        <v>10</v>
      </c>
    </row>
    <row r="23" spans="1:6" x14ac:dyDescent="0.25">
      <c r="C23" t="s">
        <v>11</v>
      </c>
      <c r="D23" s="8">
        <f t="shared" ref="D23:D27" si="1">E23/$E$5</f>
        <v>351495.75353218208</v>
      </c>
      <c r="E23" s="28">
        <v>223902795</v>
      </c>
      <c r="F23" s="22" t="s">
        <v>27</v>
      </c>
    </row>
    <row r="24" spans="1:6" x14ac:dyDescent="0.25">
      <c r="C24" t="s">
        <v>12</v>
      </c>
      <c r="D24" s="8">
        <f t="shared" si="1"/>
        <v>743360.15227629512</v>
      </c>
      <c r="E24" s="28">
        <v>473520417</v>
      </c>
      <c r="F24" s="22" t="s">
        <v>28</v>
      </c>
    </row>
    <row r="25" spans="1:6" x14ac:dyDescent="0.25">
      <c r="C25" t="s">
        <v>13</v>
      </c>
      <c r="D25" s="8">
        <f t="shared" si="1"/>
        <v>340312.50078492938</v>
      </c>
      <c r="E25" s="28">
        <v>216779063</v>
      </c>
      <c r="F25" s="22" t="s">
        <v>29</v>
      </c>
    </row>
    <row r="26" spans="1:6" x14ac:dyDescent="0.25">
      <c r="C26" s="5" t="s">
        <v>14</v>
      </c>
      <c r="D26" s="11">
        <f t="shared" si="1"/>
        <v>145848.21507064364</v>
      </c>
      <c r="E26" s="29">
        <v>92905313</v>
      </c>
      <c r="F26" s="22" t="s">
        <v>30</v>
      </c>
    </row>
    <row r="27" spans="1:6" x14ac:dyDescent="0.25">
      <c r="C27" s="7" t="s">
        <v>15</v>
      </c>
      <c r="D27" s="13">
        <f t="shared" si="1"/>
        <v>1581016.6216640503</v>
      </c>
      <c r="E27" s="30">
        <f>SUM(E23:E26)</f>
        <v>1007107588</v>
      </c>
    </row>
    <row r="28" spans="1:6" x14ac:dyDescent="0.25">
      <c r="B28" s="4"/>
      <c r="C28" s="6"/>
      <c r="D28" s="4"/>
      <c r="E28" s="4"/>
    </row>
    <row r="29" spans="1:6" x14ac:dyDescent="0.25">
      <c r="B29" s="1" t="s">
        <v>8</v>
      </c>
      <c r="D29" s="14">
        <f>D27+D20</f>
        <v>6351615.5502354782</v>
      </c>
      <c r="E29" s="33">
        <f>E27+E20</f>
        <v>4045979105.5</v>
      </c>
      <c r="F29" s="22" t="s">
        <v>32</v>
      </c>
    </row>
    <row r="31" spans="1:6" x14ac:dyDescent="0.25">
      <c r="A31" s="15" t="s">
        <v>19</v>
      </c>
      <c r="B31" s="15"/>
      <c r="C31" s="15"/>
      <c r="D31" s="18">
        <f>(D11-D29)/D29</f>
        <v>9.7358608195610319E-2</v>
      </c>
      <c r="E31" s="18">
        <f>(E11-E29)/E29</f>
        <v>9.7358608195610222E-2</v>
      </c>
      <c r="F31" s="22" t="s">
        <v>33</v>
      </c>
    </row>
  </sheetData>
  <scenarios current="2" show="2" sqref="E31">
    <scenario name="menos 10%" locked="1" count="4" user="Paulo Merino" comment="Creado por Paulo Merino el 22-01-2023_x000a_Modificado por Paulo Merino el 22-01-2023">
      <inputCells r="E23" val="185043632" numFmtId="42"/>
      <inputCells r="E24" val="391339187" numFmtId="42"/>
      <inputCells r="E25" val="179156250" numFmtId="42"/>
      <inputCells r="E26" val="76781250" numFmtId="42"/>
    </scenario>
    <scenario name="normal" locked="1" count="4" user="Paulo Merino" comment="Creado por Paulo Merino el 22-01-2023_x000a_Modificado por Paulo Merino el 22-01-2023">
      <inputCells r="E23" val="205604035" numFmtId="42"/>
      <inputCells r="E24" val="434821318,75" numFmtId="42"/>
      <inputCells r="E25" val="199062500" numFmtId="42"/>
      <inputCells r="E26" val="85312500" numFmtId="42"/>
    </scenario>
    <scenario name="más 10% " locked="1" count="4" user="Paulo Merino" comment="Creado por Paulo Merino el 22-01-2023_x000a_Modificado por Paulo Merino el 22-01-2023">
      <inputCells r="E23" val="223902795" numFmtId="42"/>
      <inputCells r="E24" val="473520417" numFmtId="42"/>
      <inputCells r="E25" val="216779063" numFmtId="42"/>
      <inputCells r="E26" val="92905313" numFmtId="42"/>
    </scenario>
  </scenario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E27CF-CD37-4B9A-A3CE-6D78C3204DCF}">
  <dimension ref="A1:L31"/>
  <sheetViews>
    <sheetView workbookViewId="0">
      <selection activeCell="J30" sqref="J30"/>
    </sheetView>
  </sheetViews>
  <sheetFormatPr baseColWidth="10" defaultRowHeight="15" x14ac:dyDescent="0.25"/>
  <cols>
    <col min="1" max="2" width="2.7109375" customWidth="1"/>
    <col min="3" max="3" width="35" bestFit="1" customWidth="1"/>
    <col min="4" max="5" width="17.7109375" customWidth="1"/>
    <col min="6" max="7" width="14.5703125" customWidth="1"/>
    <col min="8" max="8" width="16.85546875" customWidth="1"/>
    <col min="9" max="9" width="19.28515625" customWidth="1"/>
    <col min="10" max="10" width="18.28515625" customWidth="1"/>
    <col min="11" max="11" width="16.140625" customWidth="1"/>
    <col min="12" max="12" width="14.5703125" customWidth="1"/>
  </cols>
  <sheetData>
    <row r="1" spans="1:12" ht="19.5" customHeight="1" x14ac:dyDescent="0.25"/>
    <row r="2" spans="1:12" ht="26.25" x14ac:dyDescent="0.4">
      <c r="A2" s="17"/>
      <c r="C2" s="84" t="s">
        <v>107</v>
      </c>
    </row>
    <row r="3" spans="1:12" x14ac:dyDescent="0.25">
      <c r="A3" s="3"/>
      <c r="H3" s="1" t="s">
        <v>100</v>
      </c>
    </row>
    <row r="4" spans="1:12" x14ac:dyDescent="0.25">
      <c r="A4" s="3"/>
      <c r="F4" s="20" t="s">
        <v>20</v>
      </c>
      <c r="H4" t="s">
        <v>110</v>
      </c>
    </row>
    <row r="5" spans="1:12" ht="15.75" x14ac:dyDescent="0.25">
      <c r="A5" s="3"/>
      <c r="C5" t="s">
        <v>34</v>
      </c>
      <c r="E5" s="19">
        <v>637</v>
      </c>
      <c r="F5" s="22" t="s">
        <v>21</v>
      </c>
      <c r="G5" s="22"/>
    </row>
    <row r="6" spans="1:12" x14ac:dyDescent="0.25">
      <c r="A6" s="3"/>
      <c r="I6" t="s">
        <v>85</v>
      </c>
      <c r="J6" t="s">
        <v>84</v>
      </c>
      <c r="K6" t="s">
        <v>83</v>
      </c>
      <c r="L6" t="s">
        <v>19</v>
      </c>
    </row>
    <row r="8" spans="1:12" x14ac:dyDescent="0.25">
      <c r="A8" s="15" t="s">
        <v>17</v>
      </c>
      <c r="B8" s="16"/>
      <c r="C8" s="16"/>
      <c r="D8" s="16" t="s">
        <v>2</v>
      </c>
      <c r="E8" s="16" t="s">
        <v>35</v>
      </c>
      <c r="H8" s="61">
        <v>630</v>
      </c>
    </row>
    <row r="9" spans="1:12" x14ac:dyDescent="0.25">
      <c r="C9" t="s">
        <v>0</v>
      </c>
      <c r="D9">
        <f>E9</f>
        <v>164</v>
      </c>
      <c r="E9" s="21">
        <v>164</v>
      </c>
      <c r="F9" s="22" t="s">
        <v>22</v>
      </c>
      <c r="G9" s="22"/>
      <c r="H9">
        <v>635</v>
      </c>
    </row>
    <row r="10" spans="1:12" x14ac:dyDescent="0.25">
      <c r="B10" s="4"/>
      <c r="C10" s="4" t="s">
        <v>1</v>
      </c>
      <c r="D10" s="23">
        <v>42500</v>
      </c>
      <c r="E10" s="24">
        <f>D10*E5</f>
        <v>27072500</v>
      </c>
      <c r="F10" s="22" t="s">
        <v>23</v>
      </c>
      <c r="G10" s="22"/>
      <c r="H10">
        <v>640</v>
      </c>
    </row>
    <row r="11" spans="1:12" x14ac:dyDescent="0.25">
      <c r="B11" s="1" t="s">
        <v>3</v>
      </c>
      <c r="D11" s="12">
        <f>D9*D10</f>
        <v>6970000</v>
      </c>
      <c r="E11" s="32">
        <f>E9*E10</f>
        <v>4439890000</v>
      </c>
      <c r="F11" s="22" t="s">
        <v>31</v>
      </c>
      <c r="G11" s="22"/>
      <c r="H11">
        <v>645</v>
      </c>
    </row>
    <row r="12" spans="1:12" x14ac:dyDescent="0.25">
      <c r="B12" s="1"/>
      <c r="H12">
        <v>650</v>
      </c>
    </row>
    <row r="13" spans="1:12" x14ac:dyDescent="0.25">
      <c r="A13" s="15" t="s">
        <v>16</v>
      </c>
      <c r="B13" s="16"/>
      <c r="C13" s="16"/>
      <c r="D13" s="16"/>
      <c r="E13" s="16"/>
      <c r="H13">
        <v>655</v>
      </c>
    </row>
    <row r="14" spans="1:12" x14ac:dyDescent="0.25">
      <c r="A14" s="1"/>
      <c r="H14">
        <v>660</v>
      </c>
    </row>
    <row r="15" spans="1:12" x14ac:dyDescent="0.25">
      <c r="B15" s="1" t="s">
        <v>4</v>
      </c>
      <c r="H15">
        <v>665</v>
      </c>
    </row>
    <row r="16" spans="1:12" x14ac:dyDescent="0.25">
      <c r="C16" t="s">
        <v>5</v>
      </c>
      <c r="D16" s="25">
        <f>E16/$E$5</f>
        <v>27541.517857142859</v>
      </c>
      <c r="E16" s="26">
        <v>17543946.875</v>
      </c>
      <c r="F16" s="22" t="s">
        <v>24</v>
      </c>
      <c r="G16" s="22"/>
      <c r="H16">
        <v>670</v>
      </c>
    </row>
    <row r="17" spans="1:11" x14ac:dyDescent="0.25">
      <c r="C17" t="s">
        <v>6</v>
      </c>
      <c r="D17" s="25">
        <f>E17/$E$5</f>
        <v>150.80357142857144</v>
      </c>
      <c r="E17" s="26">
        <v>96061.875000000015</v>
      </c>
      <c r="F17" s="22" t="s">
        <v>25</v>
      </c>
      <c r="G17" s="22"/>
    </row>
    <row r="18" spans="1:11" x14ac:dyDescent="0.25">
      <c r="C18" s="4" t="s">
        <v>7</v>
      </c>
      <c r="D18" s="10">
        <f>E18/$E$5</f>
        <v>1396.6964285714287</v>
      </c>
      <c r="E18" s="27">
        <v>889695.62500000012</v>
      </c>
      <c r="F18" s="22" t="s">
        <v>26</v>
      </c>
      <c r="G18" s="22"/>
    </row>
    <row r="19" spans="1:11" x14ac:dyDescent="0.25">
      <c r="C19" s="9" t="s">
        <v>18</v>
      </c>
      <c r="D19" s="8">
        <f>E19/$E$5</f>
        <v>29089.017857142859</v>
      </c>
      <c r="E19" s="31">
        <f>SUM(E16:E18)</f>
        <v>18529704.375</v>
      </c>
      <c r="H19" t="s">
        <v>111</v>
      </c>
    </row>
    <row r="20" spans="1:11" x14ac:dyDescent="0.25">
      <c r="C20" s="2" t="s">
        <v>9</v>
      </c>
      <c r="D20" s="12">
        <f>E20/$E$5</f>
        <v>4770598.9285714282</v>
      </c>
      <c r="E20" s="32">
        <f>E19*E$9</f>
        <v>3038871517.5</v>
      </c>
      <c r="F20" s="22"/>
      <c r="G20" s="22"/>
      <c r="H20" s="62"/>
    </row>
    <row r="21" spans="1:11" x14ac:dyDescent="0.25">
      <c r="C21" s="2"/>
      <c r="H21" s="62"/>
      <c r="I21">
        <v>145</v>
      </c>
      <c r="J21">
        <v>164</v>
      </c>
      <c r="K21">
        <v>170</v>
      </c>
    </row>
    <row r="22" spans="1:11" x14ac:dyDescent="0.25">
      <c r="B22" s="1" t="s">
        <v>10</v>
      </c>
      <c r="H22" s="61">
        <v>630</v>
      </c>
    </row>
    <row r="23" spans="1:11" x14ac:dyDescent="0.25">
      <c r="C23" t="s">
        <v>11</v>
      </c>
      <c r="D23" s="8">
        <f>E23/$E$5</f>
        <v>322769.28571428574</v>
      </c>
      <c r="E23" s="28">
        <v>205604035.00000003</v>
      </c>
      <c r="F23" s="22" t="s">
        <v>27</v>
      </c>
      <c r="G23" s="22"/>
      <c r="H23">
        <v>635</v>
      </c>
    </row>
    <row r="24" spans="1:11" x14ac:dyDescent="0.25">
      <c r="C24" t="s">
        <v>12</v>
      </c>
      <c r="D24" s="8">
        <f>E24/$E$5</f>
        <v>682608.0357142858</v>
      </c>
      <c r="E24" s="28">
        <v>434821318.75000006</v>
      </c>
      <c r="F24" s="22" t="s">
        <v>28</v>
      </c>
      <c r="G24" s="22"/>
      <c r="H24">
        <v>640</v>
      </c>
    </row>
    <row r="25" spans="1:11" x14ac:dyDescent="0.25">
      <c r="C25" t="s">
        <v>13</v>
      </c>
      <c r="D25" s="8">
        <f>E25/$E$5</f>
        <v>312500</v>
      </c>
      <c r="E25" s="28">
        <v>199062500</v>
      </c>
      <c r="F25" s="22" t="s">
        <v>29</v>
      </c>
      <c r="G25" s="22"/>
      <c r="H25">
        <v>645</v>
      </c>
    </row>
    <row r="26" spans="1:11" x14ac:dyDescent="0.25">
      <c r="C26" s="5" t="s">
        <v>14</v>
      </c>
      <c r="D26" s="11">
        <f>E26/$E$5</f>
        <v>133928.57142857145</v>
      </c>
      <c r="E26" s="29">
        <v>85312500.000000015</v>
      </c>
      <c r="F26" s="22" t="s">
        <v>30</v>
      </c>
      <c r="G26" s="22"/>
      <c r="H26">
        <v>650</v>
      </c>
    </row>
    <row r="27" spans="1:11" x14ac:dyDescent="0.25">
      <c r="C27" s="7" t="s">
        <v>15</v>
      </c>
      <c r="D27" s="13">
        <f>E27/$E$5</f>
        <v>1451805.892857143</v>
      </c>
      <c r="E27" s="30">
        <f>SUM(E23:E26)</f>
        <v>924800353.75000012</v>
      </c>
      <c r="H27">
        <v>655</v>
      </c>
    </row>
    <row r="28" spans="1:11" x14ac:dyDescent="0.25">
      <c r="B28" s="4"/>
      <c r="C28" s="6"/>
      <c r="D28" s="4"/>
      <c r="E28" s="4"/>
      <c r="H28">
        <v>660</v>
      </c>
    </row>
    <row r="29" spans="1:11" x14ac:dyDescent="0.25">
      <c r="B29" s="1" t="s">
        <v>8</v>
      </c>
      <c r="D29" s="14">
        <f>D27+D20</f>
        <v>6222404.8214285709</v>
      </c>
      <c r="E29" s="33">
        <f>E27+E20</f>
        <v>3963671871.25</v>
      </c>
      <c r="F29" s="22" t="s">
        <v>32</v>
      </c>
      <c r="G29" s="22"/>
      <c r="H29">
        <v>665</v>
      </c>
    </row>
    <row r="30" spans="1:11" x14ac:dyDescent="0.25">
      <c r="H30">
        <v>670</v>
      </c>
    </row>
    <row r="31" spans="1:11" x14ac:dyDescent="0.25">
      <c r="A31" s="15" t="s">
        <v>19</v>
      </c>
      <c r="B31" s="15"/>
      <c r="C31" s="15"/>
      <c r="D31" s="18">
        <f>(D11-D29)/D29</f>
        <v>0.12014569929569328</v>
      </c>
      <c r="E31" s="18">
        <f>(E11-E29)/E29</f>
        <v>0.12014569929569319</v>
      </c>
      <c r="F31" s="22" t="s">
        <v>33</v>
      </c>
      <c r="G31" s="22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53EF8B09-C147-4CD3-8423-CEFFFCC4E131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13</vt:i4>
      </vt:variant>
    </vt:vector>
  </HeadingPairs>
  <TitlesOfParts>
    <vt:vector size="24" baseType="lpstr">
      <vt:lpstr>Objetivo1</vt:lpstr>
      <vt:lpstr>Objetivo2</vt:lpstr>
      <vt:lpstr>Objetivo3</vt:lpstr>
      <vt:lpstr>Objetivo4</vt:lpstr>
      <vt:lpstr>Escenario1</vt:lpstr>
      <vt:lpstr>Escenario2</vt:lpstr>
      <vt:lpstr>Escenario3</vt:lpstr>
      <vt:lpstr>Escenario4</vt:lpstr>
      <vt:lpstr>Tabla de datos</vt:lpstr>
      <vt:lpstr>Tabla de datos2</vt:lpstr>
      <vt:lpstr>Tabla de datos3</vt:lpstr>
      <vt:lpstr>Objetivo4!CambioDolar</vt:lpstr>
      <vt:lpstr>Objetivo4!CostoFijoAdministrativos</vt:lpstr>
      <vt:lpstr>Objetivo4!CostoFijoFinanciero</vt:lpstr>
      <vt:lpstr>Objetivo4!CostoFijoPublicidad</vt:lpstr>
      <vt:lpstr>Objetivo4!CostoFijoSalarios</vt:lpstr>
      <vt:lpstr>Objetivo4!CostoManoObraUn</vt:lpstr>
      <vt:lpstr>Objetivo4!CostoMaterialUn</vt:lpstr>
      <vt:lpstr>CostosTotales</vt:lpstr>
      <vt:lpstr>Objetivo4!CostoUnOtros</vt:lpstr>
      <vt:lpstr>IngresosTotales</vt:lpstr>
      <vt:lpstr>MargenBruto</vt:lpstr>
      <vt:lpstr>Objetivo4!PrecioVenta</vt:lpstr>
      <vt:lpstr>Objetivo4!UnidadesVendidas</vt:lpstr>
    </vt:vector>
  </TitlesOfParts>
  <Company>Meemo.com.co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Escenarios</dc:title>
  <dc:subject>Escenarios</dc:subject>
  <dc:creator>http://koul.co</dc:creator>
  <dc:description>Copyright 2014, Meemo SAS</dc:description>
  <cp:lastModifiedBy>Paulo Merino</cp:lastModifiedBy>
  <dcterms:created xsi:type="dcterms:W3CDTF">2014-01-20T14:23:14Z</dcterms:created>
  <dcterms:modified xsi:type="dcterms:W3CDTF">2023-01-24T04:30:43Z</dcterms:modified>
</cp:coreProperties>
</file>