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hile-my.sharepoint.com/personal/cristobal_rojas_s_uchile_cl/Documents/Universidad/Universidad/2022/Ayudantía_Elementos_2022_2/Tarea 2/Pauta/"/>
    </mc:Choice>
  </mc:AlternateContent>
  <xr:revisionPtr revIDLastSave="29" documentId="13_ncr:1_{D70670BD-C133-423F-88D8-584B7B5E73CA}" xr6:coauthVersionLast="47" xr6:coauthVersionMax="47" xr10:uidLastSave="{46C7BEA2-AC63-4A01-A1E5-D5D799DE384B}"/>
  <bookViews>
    <workbookView xWindow="-120" yWindow="480" windowWidth="20730" windowHeight="11160" xr2:uid="{AADBF8FE-77A0-4440-B92B-DF7A3EBDA2FC}"/>
  </bookViews>
  <sheets>
    <sheet name="Soln. (a)-(d)" sheetId="1" r:id="rId1"/>
    <sheet name="Continuación Soln. (a)" sheetId="3" r:id="rId2"/>
  </sheets>
  <definedNames>
    <definedName name="_xlnm.Print_Area" localSheetId="1">'Continuación Soln. (a)'!$A$1:$W$61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1" l="1"/>
  <c r="N48" i="1"/>
  <c r="N34" i="1"/>
  <c r="N26" i="1"/>
  <c r="N25" i="1"/>
  <c r="Y3" i="1" l="1"/>
  <c r="D45" i="1"/>
  <c r="D44" i="1"/>
  <c r="D43" i="1"/>
  <c r="D42" i="1"/>
  <c r="R48" i="1"/>
  <c r="N46" i="1"/>
  <c r="N47" i="1" s="1"/>
  <c r="AA21" i="1" s="1"/>
  <c r="N12" i="1"/>
  <c r="N11" i="1"/>
  <c r="N10" i="1"/>
  <c r="N9" i="1"/>
  <c r="N8" i="1"/>
  <c r="N7" i="1"/>
  <c r="N39" i="1"/>
  <c r="N9" i="3"/>
  <c r="N10" i="3" s="1"/>
  <c r="N11" i="3" s="1"/>
  <c r="N14" i="3"/>
  <c r="B36" i="3"/>
  <c r="R31" i="3"/>
  <c r="N26" i="3"/>
  <c r="B20" i="3"/>
  <c r="N30" i="3" s="1"/>
  <c r="N23" i="3"/>
  <c r="N19" i="3"/>
  <c r="N18" i="3"/>
  <c r="N15" i="3"/>
  <c r="S15" i="3" s="1"/>
  <c r="N6" i="3"/>
  <c r="N16" i="1"/>
  <c r="N17" i="1" s="1"/>
  <c r="AD29" i="1"/>
  <c r="B22" i="1"/>
  <c r="AD27" i="1"/>
  <c r="N33" i="1"/>
  <c r="AD28" i="1" l="1"/>
  <c r="Y7" i="1"/>
  <c r="AA22" i="1"/>
  <c r="N27" i="3"/>
  <c r="S14" i="3"/>
  <c r="N18" i="1"/>
  <c r="Y10" i="1"/>
  <c r="Y9" i="1"/>
  <c r="Y18" i="1" s="1"/>
  <c r="AF37" i="1"/>
  <c r="B37" i="1"/>
  <c r="AD31" i="1"/>
  <c r="S10" i="3" l="1"/>
  <c r="AD32" i="1"/>
  <c r="AC33" i="1" s="1"/>
  <c r="N39" i="3" l="1"/>
  <c r="S11" i="3"/>
  <c r="N31" i="3" s="1"/>
  <c r="R30" i="3" s="1"/>
  <c r="N22" i="1"/>
  <c r="N30" i="1"/>
  <c r="P39" i="3" l="1"/>
  <c r="Y8" i="1"/>
  <c r="S22" i="1"/>
  <c r="S21" i="1"/>
  <c r="S18" i="1"/>
  <c r="S17" i="1"/>
  <c r="Z13" i="1" s="1"/>
  <c r="AA3" i="1" l="1"/>
  <c r="AB22" i="1"/>
  <c r="AC18" i="1" l="1"/>
  <c r="AD18" i="1" s="1"/>
  <c r="Y17" i="1"/>
  <c r="AC17" i="1" s="1"/>
  <c r="AD17" i="1" s="1"/>
</calcChain>
</file>

<file path=xl/sharedStrings.xml><?xml version="1.0" encoding="utf-8"?>
<sst xmlns="http://schemas.openxmlformats.org/spreadsheetml/2006/main" count="367" uniqueCount="173">
  <si>
    <t>Datos</t>
  </si>
  <si>
    <t>d =</t>
  </si>
  <si>
    <t>FD =</t>
  </si>
  <si>
    <t>Superficie esmerilada</t>
  </si>
  <si>
    <t>mm</t>
  </si>
  <si>
    <t>ro =</t>
  </si>
  <si>
    <t>(radio externo acople)</t>
  </si>
  <si>
    <t>n =</t>
  </si>
  <si>
    <t>rpm</t>
  </si>
  <si>
    <t>(rpm eje)</t>
  </si>
  <si>
    <t>N</t>
  </si>
  <si>
    <t>T° ambiente</t>
  </si>
  <si>
    <t>Kf =</t>
  </si>
  <si>
    <t>l =</t>
  </si>
  <si>
    <t>(resistencia a la tracción, EJE)</t>
  </si>
  <si>
    <t>(resistencia a la fluencia, EJE)</t>
  </si>
  <si>
    <t>Su (eje) =</t>
  </si>
  <si>
    <t>Sy (eje) =</t>
  </si>
  <si>
    <t>Su (acople) =</t>
  </si>
  <si>
    <t>Sy (acople) =</t>
  </si>
  <si>
    <t>(resistencia a la tracción, ACOPLE)</t>
  </si>
  <si>
    <t>(resistencia a la fluencia, ACOPLE)</t>
  </si>
  <si>
    <t>E (eje) =</t>
  </si>
  <si>
    <t>v (eje) =</t>
  </si>
  <si>
    <t>v (acople) =</t>
  </si>
  <si>
    <t>E (acople) =</t>
  </si>
  <si>
    <t>(módulo de elasticidad, EJE)</t>
  </si>
  <si>
    <t>(coeficiente de Poisson, EJE)</t>
  </si>
  <si>
    <t>(módulo de elasticidad, ACOPLE)</t>
  </si>
  <si>
    <t>(coeficiente de Poisson, ACOPLE)</t>
  </si>
  <si>
    <t>(factor de Marin de efectos diversos)</t>
  </si>
  <si>
    <t>-</t>
  </si>
  <si>
    <t>MPa</t>
  </si>
  <si>
    <t>M_máx =</t>
  </si>
  <si>
    <t>M_mín =</t>
  </si>
  <si>
    <t>Ma =</t>
  </si>
  <si>
    <t>Mm =</t>
  </si>
  <si>
    <t>Nmm</t>
  </si>
  <si>
    <t>T_máx =</t>
  </si>
  <si>
    <t>T_mín =</t>
  </si>
  <si>
    <t>Ta =</t>
  </si>
  <si>
    <t>Tm =</t>
  </si>
  <si>
    <t>ka =</t>
  </si>
  <si>
    <t>kb =</t>
  </si>
  <si>
    <t>kc =</t>
  </si>
  <si>
    <t>kd =</t>
  </si>
  <si>
    <t>ke =</t>
  </si>
  <si>
    <t>kf =</t>
  </si>
  <si>
    <t>a =</t>
  </si>
  <si>
    <t>b =</t>
  </si>
  <si>
    <t>di =</t>
  </si>
  <si>
    <t>Se' =</t>
  </si>
  <si>
    <t>Se =</t>
  </si>
  <si>
    <t>P =</t>
  </si>
  <si>
    <t>ri =</t>
  </si>
  <si>
    <t>Ixx =</t>
  </si>
  <si>
    <t>mm4</t>
  </si>
  <si>
    <t>(segundo momento de área del eje)</t>
  </si>
  <si>
    <t>l/d =</t>
  </si>
  <si>
    <t>Kt =</t>
  </si>
  <si>
    <t>Desprecie efecto del esfuerzo de corte transversal en la resistencia</t>
  </si>
  <si>
    <t>st_eje =</t>
  </si>
  <si>
    <t>sr_eje =</t>
  </si>
  <si>
    <t>st_acople =</t>
  </si>
  <si>
    <t>sr_acople =</t>
  </si>
  <si>
    <t>s'_acople =</t>
  </si>
  <si>
    <t>s'_eje =</t>
  </si>
  <si>
    <t>n_eje =</t>
  </si>
  <si>
    <t>n_acople =</t>
  </si>
  <si>
    <t>Flexión completamente invertida</t>
  </si>
  <si>
    <t>Torque estacionario</t>
  </si>
  <si>
    <t>T disponible =</t>
  </si>
  <si>
    <t>mu =</t>
  </si>
  <si>
    <t>Factores de Marin</t>
  </si>
  <si>
    <t>Límite de resistencia a la fatiga</t>
  </si>
  <si>
    <t>Factor de concentración de esfuerzos por ajuste</t>
  </si>
  <si>
    <t>(no afecta a la torsión)</t>
  </si>
  <si>
    <t>SOLUCIÓN</t>
  </si>
  <si>
    <t>(PESO PROPIO DEL EJE SE DESPRECIA)</t>
  </si>
  <si>
    <t>(radio interno del eje; OBS.: Fórmula esfuerzo eje solo válida para ri=0; si ri&gt;0, debe actualizarse)</t>
  </si>
  <si>
    <t>(diámetro eje para iterar)</t>
  </si>
  <si>
    <t>(fórmula que se itera con "di" proporcionado en celda N2)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</si>
  <si>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_nominal =</t>
    </r>
  </si>
  <si>
    <r>
      <t>P/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_nominal =</t>
    </r>
  </si>
  <si>
    <t>Kts =</t>
  </si>
  <si>
    <t xml:space="preserve">Diámetro según ED-ASME elíptica: </t>
  </si>
  <si>
    <t>Obs.: usamos directamente Kt y Kts en la zona de ajuste ya que no se existe dimensión de muesca en esta zona.</t>
  </si>
  <si>
    <t>Obs.: multiplicamos todos los esfuerzos en el eje y acople por Kt para considerar el efecto de concentración de esfuerzos en el ajuste.</t>
  </si>
  <si>
    <t>sl_acople = sl_eje =</t>
  </si>
  <si>
    <r>
      <t xml:space="preserve">(Ec. 7-44, Shigley, </t>
    </r>
    <r>
      <rPr>
        <sz val="11"/>
        <color rgb="FFFF0000"/>
        <rFont val="Calibri"/>
        <family val="2"/>
        <scheme val="minor"/>
      </rPr>
      <t>premultiplicada por Kt</t>
    </r>
    <r>
      <rPr>
        <sz val="11"/>
        <color theme="1"/>
        <rFont val="Calibri"/>
        <family val="2"/>
        <scheme val="minor"/>
      </rPr>
      <t>)</t>
    </r>
  </si>
  <si>
    <r>
      <t xml:space="preserve">(Ec. 7-46, Shigley, </t>
    </r>
    <r>
      <rPr>
        <sz val="11"/>
        <color rgb="FFFF0000"/>
        <rFont val="Calibri"/>
        <family val="2"/>
        <scheme val="minor"/>
      </rPr>
      <t>premultiplicada por K</t>
    </r>
    <r>
      <rPr>
        <sz val="11"/>
        <color theme="1"/>
        <rFont val="Calibri"/>
        <family val="2"/>
        <scheme val="minor"/>
      </rPr>
      <t>t)</t>
    </r>
  </si>
  <si>
    <r>
      <t xml:space="preserve">(Ec. 7-45, Shigley, </t>
    </r>
    <r>
      <rPr>
        <sz val="11"/>
        <color rgb="FFFF0000"/>
        <rFont val="Calibri"/>
        <family val="2"/>
        <scheme val="minor"/>
      </rPr>
      <t>premultiplicada por Kt</t>
    </r>
    <r>
      <rPr>
        <sz val="11"/>
        <color theme="1"/>
        <rFont val="Calibri"/>
        <family val="2"/>
        <scheme val="minor"/>
      </rPr>
      <t>)</t>
    </r>
  </si>
  <si>
    <r>
      <t xml:space="preserve">(Ec. 7-47, Shigley, </t>
    </r>
    <r>
      <rPr>
        <sz val="11"/>
        <color rgb="FFFF0000"/>
        <rFont val="Calibri"/>
        <family val="2"/>
        <scheme val="minor"/>
      </rPr>
      <t>premultiplicada por Kt</t>
    </r>
    <r>
      <rPr>
        <sz val="11"/>
        <color theme="1"/>
        <rFont val="Calibri"/>
        <family val="2"/>
        <scheme val="minor"/>
      </rPr>
      <t>)</t>
    </r>
  </si>
  <si>
    <r>
      <t>Calculamos esfuerzo de von Mises para eje y acople del ajuste utilizando los esfuerzos principales st, sr y sl (</t>
    </r>
    <r>
      <rPr>
        <sz val="11"/>
        <color rgb="FFFF0000"/>
        <rFont val="Calibri"/>
        <family val="2"/>
        <scheme val="minor"/>
      </rPr>
      <t>Ec. 5-12, Shigley</t>
    </r>
    <r>
      <rPr>
        <sz val="11"/>
        <color theme="1"/>
        <rFont val="Calibri"/>
        <family val="2"/>
        <scheme val="minor"/>
      </rPr>
      <t>):</t>
    </r>
  </si>
  <si>
    <t>R =</t>
  </si>
  <si>
    <t>(confiabilidad del conjunto de rodamientos)</t>
  </si>
  <si>
    <t>Confiabilidad de 1 rodamiento:</t>
  </si>
  <si>
    <t>a_f =</t>
  </si>
  <si>
    <t>x0 =</t>
  </si>
  <si>
    <t>(factor de aplicación de carga para rodamientos)</t>
  </si>
  <si>
    <r>
      <rPr>
        <sz val="11"/>
        <color theme="1"/>
        <rFont val="Symbol"/>
        <family val="1"/>
        <charset val="2"/>
      </rPr>
      <t>q</t>
    </r>
    <r>
      <rPr>
        <sz val="11"/>
        <color theme="1"/>
        <rFont val="Calibri"/>
        <family val="2"/>
        <scheme val="minor"/>
      </rPr>
      <t>-x0 =</t>
    </r>
  </si>
  <si>
    <t>(parámetro de Weibull)</t>
  </si>
  <si>
    <t>Carga de diseño:</t>
  </si>
  <si>
    <t>Obs.: Según enunciado, los rodamientos son idénticos.</t>
  </si>
  <si>
    <t>Exponente:</t>
  </si>
  <si>
    <t>horas</t>
  </si>
  <si>
    <t>(vida requerida en horas)</t>
  </si>
  <si>
    <t>Vida de diseño en revoluciones:</t>
  </si>
  <si>
    <t>LD =</t>
  </si>
  <si>
    <t>revoluciones</t>
  </si>
  <si>
    <t>L10 =</t>
  </si>
  <si>
    <t>rev</t>
  </si>
  <si>
    <t>(vida de catálogo en revoluciones del anillo interior)</t>
  </si>
  <si>
    <t>Variante adimencional de la vida:</t>
  </si>
  <si>
    <t>xD = L/L10 =</t>
  </si>
  <si>
    <t xml:space="preserve">RD = R^0.5 = </t>
  </si>
  <si>
    <t>L = 60*LD*n =</t>
  </si>
  <si>
    <t>Clasificación de carga de catálogo:</t>
  </si>
  <si>
    <t>C10 =</t>
  </si>
  <si>
    <t>confiabilidad 99%</t>
  </si>
  <si>
    <t xml:space="preserve"> --&gt;</t>
  </si>
  <si>
    <t>kN</t>
  </si>
  <si>
    <t>Dint =</t>
  </si>
  <si>
    <t>T frenado =</t>
  </si>
  <si>
    <t>De Tabla 11-3, Shigley:</t>
  </si>
  <si>
    <t>Se elige el rodamiento de rodillos cilíndricos, Serie 03, más próximo:</t>
  </si>
  <si>
    <t>(carga radial vertical sobre un rodamiento)</t>
  </si>
  <si>
    <t>F = P =</t>
  </si>
  <si>
    <t>T disponible/T frenado =</t>
  </si>
  <si>
    <t>(Rodamiento de rodillos)</t>
  </si>
  <si>
    <t>F =</t>
  </si>
  <si>
    <t>(Ec. 11-7, Shigley, con F premultiplicado por a_f)</t>
  </si>
  <si>
    <t>(PESO PROPIO DEL EJE Y DISCO DE FRENO SE DESPRECIAN)</t>
  </si>
  <si>
    <t>x</t>
  </si>
  <si>
    <t>M (Nmm)</t>
  </si>
  <si>
    <t>0 &lt;= x &lt; 200:</t>
  </si>
  <si>
    <t>200 &lt;= x &lt; 1868:</t>
  </si>
  <si>
    <t>M = -65000*x  [Nmm]</t>
  </si>
  <si>
    <t>M = -65000*200 = -13000000 [Nmm]</t>
  </si>
  <si>
    <t>1868 &lt; x &lt;= 2068:</t>
  </si>
  <si>
    <t>M = 65000*x-134420000 [Nmm]</t>
  </si>
  <si>
    <t>(no afecta a la torsión)  -&gt;</t>
  </si>
  <si>
    <t>(a) De DCL se obtiene el siguiente diagrama de momentos:</t>
  </si>
  <si>
    <t>(b) Verificacion del ajuste</t>
  </si>
  <si>
    <t>(c) Capacidad de torque del ajuste en el frenado</t>
  </si>
  <si>
    <t>El ajuste que produce el mayor Kt es el de la rueda por ser de diámetro mayor</t>
  </si>
  <si>
    <t xml:space="preserve">y de largo de ajuste mayor. El momento flector es igual en las ruedas y en el </t>
  </si>
  <si>
    <t>freno. Por lo tanto, los cálculos siguientes  se realizan en el ajuste de la rueda.</t>
  </si>
  <si>
    <t>(d) Selección de rodamientos de rodillos cilíndricos, Serie 03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</si>
  <si>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 xml:space="preserve"> =</t>
    </r>
    <r>
      <rPr>
        <sz val="11"/>
        <color theme="1"/>
        <rFont val="Calibri"/>
        <family val="1"/>
        <charset val="2"/>
        <scheme val="minor"/>
      </rPr>
      <t>0.001*di=</t>
    </r>
  </si>
  <si>
    <t>(interferencia diametral)</t>
  </si>
  <si>
    <t>(Ec. 7-49, Shigley)</t>
  </si>
  <si>
    <t>por lo que dicha parte se puede eliminar de la fórmula o dejarla.</t>
  </si>
  <si>
    <t xml:space="preserve">Diámetro según ED-ASME elíptica: como Ma = Ta = 0, la parte que contiene a Se en la fórmula ED-ASME elíptica no afecta el cálculo, </t>
  </si>
  <si>
    <t>capaz de soportar el torque de frenado.</t>
  </si>
  <si>
    <t>SE VERIFICA QUE EL EJE SEA CAPAZ DE SOPORTAR EL TORQUE DE FRENADO</t>
  </si>
  <si>
    <t>Flexión estática: cuando el eje está frenado se produce flexión y torque estacionarios por lo que M_máx = M_mín, T_máx = T_mín</t>
  </si>
  <si>
    <r>
      <rPr>
        <b/>
        <sz val="11"/>
        <color rgb="FFFF0000"/>
        <rFont val="Calibri"/>
        <family val="2"/>
        <scheme val="minor"/>
      </rPr>
      <t>CONCLUSIÓN</t>
    </r>
    <r>
      <rPr>
        <sz val="11"/>
        <color rgb="FFFF0000"/>
        <rFont val="Calibri"/>
        <family val="2"/>
        <scheme val="minor"/>
      </rPr>
      <t xml:space="preserve">: cuando el eje se frena se requiere un diámetro menor al cálculado cuando está en operación. Por lo tanto, el eje es </t>
    </r>
  </si>
  <si>
    <t>(largo del acople = largo del ajuste; se usa el ajuste de la rueda por resultar en Kt mayor)</t>
  </si>
  <si>
    <t>Cheque puntaje:</t>
  </si>
  <si>
    <t>a)</t>
  </si>
  <si>
    <t>b)</t>
  </si>
  <si>
    <t>c)</t>
  </si>
  <si>
    <t>d)</t>
  </si>
  <si>
    <t>Total</t>
  </si>
  <si>
    <t>Asignado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</si>
  <si>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=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_a+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_m=</t>
    </r>
  </si>
  <si>
    <r>
      <t>P/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=</t>
    </r>
  </si>
  <si>
    <t>Geometría del eje</t>
  </si>
  <si>
    <r>
      <t>sl_eje = Kt*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=</t>
    </r>
  </si>
  <si>
    <t>Agregamos el esfuerzo longitudinal en el eje producto del momento flector (ver cálculo de Kt en el ajuste):</t>
  </si>
  <si>
    <t>(en el acople, el esfuerzo longitudinal debido a flexión es despreciable)</t>
  </si>
  <si>
    <t>PAUTA TAREA 2 / ME 4230 / PRIMAVERA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</si>
</sst>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3" fillId="2" borderId="1" xfId="0" applyNumberFormat="1" applyFont="1" applyFill="1" applyBorder="1"/>
    <xf numFmtId="0" fontId="0" fillId="3" borderId="0" xfId="0" applyFill="1"/>
    <xf numFmtId="0" fontId="4" fillId="3" borderId="0" xfId="0" applyFont="1" applyFill="1"/>
    <xf numFmtId="0" fontId="3" fillId="2" borderId="1" xfId="0" applyFont="1" applyFill="1" applyBorder="1"/>
    <xf numFmtId="0" fontId="2" fillId="3" borderId="0" xfId="0" applyFont="1" applyFill="1"/>
    <xf numFmtId="2" fontId="0" fillId="3" borderId="0" xfId="0" applyNumberFormat="1" applyFill="1"/>
    <xf numFmtId="2" fontId="4" fillId="3" borderId="0" xfId="0" applyNumberFormat="1" applyFont="1" applyFill="1"/>
    <xf numFmtId="0" fontId="1" fillId="3" borderId="0" xfId="0" applyFont="1" applyFill="1"/>
    <xf numFmtId="10" fontId="0" fillId="3" borderId="0" xfId="0" applyNumberFormat="1" applyFill="1"/>
    <xf numFmtId="0" fontId="0" fillId="3" borderId="0" xfId="0" applyFill="1" applyAlignment="1">
      <alignment horizontal="right"/>
    </xf>
    <xf numFmtId="164" fontId="0" fillId="3" borderId="0" xfId="0" applyNumberFormat="1" applyFill="1"/>
    <xf numFmtId="0" fontId="6" fillId="3" borderId="0" xfId="0" applyFont="1" applyFill="1"/>
    <xf numFmtId="10" fontId="1" fillId="3" borderId="0" xfId="0" applyNumberFormat="1" applyFont="1" applyFill="1"/>
    <xf numFmtId="164" fontId="3" fillId="2" borderId="1" xfId="0" applyNumberFormat="1" applyFont="1" applyFill="1" applyBorder="1"/>
    <xf numFmtId="0" fontId="7" fillId="2" borderId="1" xfId="0" applyFont="1" applyFill="1" applyBorder="1"/>
    <xf numFmtId="165" fontId="0" fillId="3" borderId="0" xfId="0" applyNumberFormat="1" applyFill="1"/>
    <xf numFmtId="0" fontId="3" fillId="3" borderId="0" xfId="0" applyFont="1" applyFill="1"/>
    <xf numFmtId="11" fontId="7" fillId="2" borderId="1" xfId="0" applyNumberFormat="1" applyFont="1" applyFill="1" applyBorder="1"/>
    <xf numFmtId="11" fontId="0" fillId="3" borderId="0" xfId="0" applyNumberFormat="1" applyFill="1"/>
    <xf numFmtId="2" fontId="4" fillId="4" borderId="0" xfId="0" applyNumberFormat="1" applyFont="1" applyFill="1"/>
    <xf numFmtId="2" fontId="3" fillId="2" borderId="3" xfId="0" applyNumberFormat="1" applyFont="1" applyFill="1" applyBorder="1"/>
    <xf numFmtId="0" fontId="3" fillId="2" borderId="2" xfId="0" applyFont="1" applyFill="1" applyBorder="1"/>
    <xf numFmtId="0" fontId="7" fillId="3" borderId="0" xfId="0" applyFont="1" applyFill="1"/>
    <xf numFmtId="2" fontId="1" fillId="3" borderId="0" xfId="0" applyNumberFormat="1" applyFont="1" applyFill="1"/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8" fillId="3" borderId="1" xfId="0" applyFont="1" applyFill="1" applyBorder="1"/>
    <xf numFmtId="0" fontId="9" fillId="3" borderId="0" xfId="0" applyFont="1" applyFill="1"/>
    <xf numFmtId="0" fontId="10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'Soln. (a)-(d)'!$M$7:$M$12</c:f>
              <c:numCache>
                <c:formatCode>General</c:formatCode>
                <c:ptCount val="6"/>
                <c:pt idx="0">
                  <c:v>0</c:v>
                </c:pt>
                <c:pt idx="1">
                  <c:v>200</c:v>
                </c:pt>
                <c:pt idx="2">
                  <c:v>500</c:v>
                </c:pt>
                <c:pt idx="3">
                  <c:v>1500</c:v>
                </c:pt>
                <c:pt idx="4">
                  <c:v>1868</c:v>
                </c:pt>
                <c:pt idx="5">
                  <c:v>2068</c:v>
                </c:pt>
              </c:numCache>
            </c:numRef>
          </c:xVal>
          <c:yVal>
            <c:numRef>
              <c:f>'Soln. (a)-(d)'!$N$7:$N$12</c:f>
              <c:numCache>
                <c:formatCode>General</c:formatCode>
                <c:ptCount val="6"/>
                <c:pt idx="0">
                  <c:v>0</c:v>
                </c:pt>
                <c:pt idx="1">
                  <c:v>-13000000</c:v>
                </c:pt>
                <c:pt idx="2">
                  <c:v>-13000000</c:v>
                </c:pt>
                <c:pt idx="3">
                  <c:v>-13000000</c:v>
                </c:pt>
                <c:pt idx="4">
                  <c:v>-13000000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B5-45F0-81D1-6522E0505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1448047"/>
        <c:axId val="1191444303"/>
      </c:scatterChart>
      <c:valAx>
        <c:axId val="1191448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91444303"/>
        <c:crosses val="autoZero"/>
        <c:crossBetween val="midCat"/>
      </c:valAx>
      <c:valAx>
        <c:axId val="1191444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91448047"/>
        <c:crosses val="autoZero"/>
        <c:crossBetween val="midCat"/>
        <c:majorUnit val="100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115391</xdr:colOff>
      <xdr:row>37</xdr:row>
      <xdr:rowOff>183967</xdr:rowOff>
    </xdr:from>
    <xdr:to>
      <xdr:col>21</xdr:col>
      <xdr:colOff>62027</xdr:colOff>
      <xdr:row>50</xdr:row>
      <xdr:rowOff>128449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88A9F2-9513-4C1B-9D1D-4D7B28989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8762" y="7324996"/>
          <a:ext cx="3166086" cy="2393768"/>
        </a:xfrm>
        <a:prstGeom prst="rect">
          <a:avLst/>
        </a:prstGeom>
      </xdr:spPr>
    </xdr:pic>
    <xdr:clientData/>
  </xdr:twoCellAnchor>
  <xdr:twoCellAnchor editAs="oneCell">
    <xdr:from>
      <xdr:col>17</xdr:col>
      <xdr:colOff>228605</xdr:colOff>
      <xdr:row>1</xdr:row>
      <xdr:rowOff>174170</xdr:rowOff>
    </xdr:from>
    <xdr:to>
      <xdr:col>20</xdr:col>
      <xdr:colOff>852656</xdr:colOff>
      <xdr:row>12</xdr:row>
      <xdr:rowOff>34799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67D925-8FFA-D66C-F308-CB3B0C5F4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434" y="370113"/>
          <a:ext cx="3119601" cy="2016000"/>
        </a:xfrm>
        <a:prstGeom prst="rect">
          <a:avLst/>
        </a:prstGeom>
      </xdr:spPr>
    </xdr:pic>
    <xdr:clientData/>
  </xdr:twoCellAnchor>
  <xdr:twoCellAnchor>
    <xdr:from>
      <xdr:col>14</xdr:col>
      <xdr:colOff>108857</xdr:colOff>
      <xdr:row>5</xdr:row>
      <xdr:rowOff>48985</xdr:rowOff>
    </xdr:from>
    <xdr:to>
      <xdr:col>17</xdr:col>
      <xdr:colOff>718457</xdr:colOff>
      <xdr:row>12</xdr:row>
      <xdr:rowOff>163286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0FAA7F9-D6A7-B25D-8DD0-994DD655D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174170</xdr:colOff>
      <xdr:row>1</xdr:row>
      <xdr:rowOff>54429</xdr:rowOff>
    </xdr:from>
    <xdr:to>
      <xdr:col>11</xdr:col>
      <xdr:colOff>468084</xdr:colOff>
      <xdr:row>12</xdr:row>
      <xdr:rowOff>43543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2E7C5754-5E4F-86E8-67A4-6659CE6EB2F0}"/>
            </a:ext>
          </a:extLst>
        </xdr:cNvPr>
        <xdr:cNvSpPr/>
      </xdr:nvSpPr>
      <xdr:spPr>
        <a:xfrm rot="10800000">
          <a:off x="7772399" y="250372"/>
          <a:ext cx="293914" cy="2144485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11</xdr:col>
      <xdr:colOff>141514</xdr:colOff>
      <xdr:row>14</xdr:row>
      <xdr:rowOff>21771</xdr:rowOff>
    </xdr:from>
    <xdr:to>
      <xdr:col>11</xdr:col>
      <xdr:colOff>478971</xdr:colOff>
      <xdr:row>21</xdr:row>
      <xdr:rowOff>141514</xdr:rowOff>
    </xdr:to>
    <xdr:sp macro="" textlink="">
      <xdr:nvSpPr>
        <xdr:cNvPr id="7" name="Left Brace 6">
          <a:extLst>
            <a:ext uri="{FF2B5EF4-FFF2-40B4-BE49-F238E27FC236}">
              <a16:creationId xmlns:a16="http://schemas.microsoft.com/office/drawing/2014/main" id="{7E6D5710-E620-977B-1493-55553ACD71C7}"/>
            </a:ext>
          </a:extLst>
        </xdr:cNvPr>
        <xdr:cNvSpPr/>
      </xdr:nvSpPr>
      <xdr:spPr>
        <a:xfrm>
          <a:off x="7739743" y="2743200"/>
          <a:ext cx="337457" cy="1436914"/>
        </a:xfrm>
        <a:prstGeom prst="lef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11</xdr:col>
      <xdr:colOff>163285</xdr:colOff>
      <xdr:row>22</xdr:row>
      <xdr:rowOff>185057</xdr:rowOff>
    </xdr:from>
    <xdr:to>
      <xdr:col>11</xdr:col>
      <xdr:colOff>500742</xdr:colOff>
      <xdr:row>30</xdr:row>
      <xdr:rowOff>54428</xdr:rowOff>
    </xdr:to>
    <xdr:sp macro="" textlink="">
      <xdr:nvSpPr>
        <xdr:cNvPr id="8" name="Left Brace 7">
          <a:extLst>
            <a:ext uri="{FF2B5EF4-FFF2-40B4-BE49-F238E27FC236}">
              <a16:creationId xmlns:a16="http://schemas.microsoft.com/office/drawing/2014/main" id="{7D535303-2C6B-4923-B9EA-5910D362A0EB}"/>
            </a:ext>
          </a:extLst>
        </xdr:cNvPr>
        <xdr:cNvSpPr/>
      </xdr:nvSpPr>
      <xdr:spPr>
        <a:xfrm>
          <a:off x="7761514" y="4419600"/>
          <a:ext cx="337457" cy="1436914"/>
        </a:xfrm>
        <a:prstGeom prst="lef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11</xdr:col>
      <xdr:colOff>163286</xdr:colOff>
      <xdr:row>31</xdr:row>
      <xdr:rowOff>43542</xdr:rowOff>
    </xdr:from>
    <xdr:to>
      <xdr:col>11</xdr:col>
      <xdr:colOff>478971</xdr:colOff>
      <xdr:row>34</xdr:row>
      <xdr:rowOff>32657</xdr:rowOff>
    </xdr:to>
    <xdr:sp macro="" textlink="">
      <xdr:nvSpPr>
        <xdr:cNvPr id="9" name="Left Brace 8">
          <a:extLst>
            <a:ext uri="{FF2B5EF4-FFF2-40B4-BE49-F238E27FC236}">
              <a16:creationId xmlns:a16="http://schemas.microsoft.com/office/drawing/2014/main" id="{6B6A10FB-F0EC-48DF-9697-00BAA7A683B3}"/>
            </a:ext>
          </a:extLst>
        </xdr:cNvPr>
        <xdr:cNvSpPr/>
      </xdr:nvSpPr>
      <xdr:spPr>
        <a:xfrm>
          <a:off x="7761515" y="6030685"/>
          <a:ext cx="315685" cy="555172"/>
        </a:xfrm>
        <a:prstGeom prst="lef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11</xdr:col>
      <xdr:colOff>97971</xdr:colOff>
      <xdr:row>40</xdr:row>
      <xdr:rowOff>0</xdr:rowOff>
    </xdr:from>
    <xdr:to>
      <xdr:col>11</xdr:col>
      <xdr:colOff>533400</xdr:colOff>
      <xdr:row>50</xdr:row>
      <xdr:rowOff>76199</xdr:rowOff>
    </xdr:to>
    <xdr:sp macro="" textlink="">
      <xdr:nvSpPr>
        <xdr:cNvPr id="10" name="Left Brace 9">
          <a:extLst>
            <a:ext uri="{FF2B5EF4-FFF2-40B4-BE49-F238E27FC236}">
              <a16:creationId xmlns:a16="http://schemas.microsoft.com/office/drawing/2014/main" id="{1BAC8481-5D40-4443-A302-F9850E50CBF2}"/>
            </a:ext>
          </a:extLst>
        </xdr:cNvPr>
        <xdr:cNvSpPr/>
      </xdr:nvSpPr>
      <xdr:spPr>
        <a:xfrm>
          <a:off x="7696200" y="7717971"/>
          <a:ext cx="435429" cy="1992085"/>
        </a:xfrm>
        <a:prstGeom prst="lef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22</xdr:col>
      <xdr:colOff>217714</xdr:colOff>
      <xdr:row>0</xdr:row>
      <xdr:rowOff>54427</xdr:rowOff>
    </xdr:from>
    <xdr:to>
      <xdr:col>22</xdr:col>
      <xdr:colOff>533400</xdr:colOff>
      <xdr:row>3</xdr:row>
      <xdr:rowOff>119741</xdr:rowOff>
    </xdr:to>
    <xdr:sp macro="" textlink="">
      <xdr:nvSpPr>
        <xdr:cNvPr id="11" name="Left Brace 10">
          <a:extLst>
            <a:ext uri="{FF2B5EF4-FFF2-40B4-BE49-F238E27FC236}">
              <a16:creationId xmlns:a16="http://schemas.microsoft.com/office/drawing/2014/main" id="{89CE1879-FF6F-4771-BD50-BF4DF7562502}"/>
            </a:ext>
          </a:extLst>
        </xdr:cNvPr>
        <xdr:cNvSpPr/>
      </xdr:nvSpPr>
      <xdr:spPr>
        <a:xfrm>
          <a:off x="15729857" y="54427"/>
          <a:ext cx="315686" cy="653143"/>
        </a:xfrm>
        <a:prstGeom prst="lef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22</xdr:col>
      <xdr:colOff>185057</xdr:colOff>
      <xdr:row>5</xdr:row>
      <xdr:rowOff>21772</xdr:rowOff>
    </xdr:from>
    <xdr:to>
      <xdr:col>22</xdr:col>
      <xdr:colOff>511628</xdr:colOff>
      <xdr:row>10</xdr:row>
      <xdr:rowOff>87085</xdr:rowOff>
    </xdr:to>
    <xdr:sp macro="" textlink="">
      <xdr:nvSpPr>
        <xdr:cNvPr id="12" name="Left Brace 11">
          <a:extLst>
            <a:ext uri="{FF2B5EF4-FFF2-40B4-BE49-F238E27FC236}">
              <a16:creationId xmlns:a16="http://schemas.microsoft.com/office/drawing/2014/main" id="{EF94D698-D231-4A7C-90A0-C227B983512B}"/>
            </a:ext>
          </a:extLst>
        </xdr:cNvPr>
        <xdr:cNvSpPr/>
      </xdr:nvSpPr>
      <xdr:spPr>
        <a:xfrm>
          <a:off x="15697200" y="1001486"/>
          <a:ext cx="326571" cy="1045028"/>
        </a:xfrm>
        <a:prstGeom prst="lef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22</xdr:col>
      <xdr:colOff>206829</xdr:colOff>
      <xdr:row>11</xdr:row>
      <xdr:rowOff>21772</xdr:rowOff>
    </xdr:from>
    <xdr:to>
      <xdr:col>22</xdr:col>
      <xdr:colOff>522515</xdr:colOff>
      <xdr:row>14</xdr:row>
      <xdr:rowOff>108857</xdr:rowOff>
    </xdr:to>
    <xdr:sp macro="" textlink="">
      <xdr:nvSpPr>
        <xdr:cNvPr id="13" name="Left Brace 12">
          <a:extLst>
            <a:ext uri="{FF2B5EF4-FFF2-40B4-BE49-F238E27FC236}">
              <a16:creationId xmlns:a16="http://schemas.microsoft.com/office/drawing/2014/main" id="{B904F925-5F87-4A2C-8EC1-56CD27AE387D}"/>
            </a:ext>
          </a:extLst>
        </xdr:cNvPr>
        <xdr:cNvSpPr/>
      </xdr:nvSpPr>
      <xdr:spPr>
        <a:xfrm>
          <a:off x="15718972" y="2177143"/>
          <a:ext cx="315686" cy="653143"/>
        </a:xfrm>
        <a:prstGeom prst="lef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22</xdr:col>
      <xdr:colOff>206829</xdr:colOff>
      <xdr:row>15</xdr:row>
      <xdr:rowOff>21770</xdr:rowOff>
    </xdr:from>
    <xdr:to>
      <xdr:col>22</xdr:col>
      <xdr:colOff>522515</xdr:colOff>
      <xdr:row>18</xdr:row>
      <xdr:rowOff>97970</xdr:rowOff>
    </xdr:to>
    <xdr:sp macro="" textlink="">
      <xdr:nvSpPr>
        <xdr:cNvPr id="14" name="Left Brace 13">
          <a:extLst>
            <a:ext uri="{FF2B5EF4-FFF2-40B4-BE49-F238E27FC236}">
              <a16:creationId xmlns:a16="http://schemas.microsoft.com/office/drawing/2014/main" id="{6E5074E5-FB2E-469C-8944-487924816D7D}"/>
            </a:ext>
          </a:extLst>
        </xdr:cNvPr>
        <xdr:cNvSpPr/>
      </xdr:nvSpPr>
      <xdr:spPr>
        <a:xfrm>
          <a:off x="15718972" y="2928256"/>
          <a:ext cx="315686" cy="653143"/>
        </a:xfrm>
        <a:prstGeom prst="lef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22</xdr:col>
      <xdr:colOff>228600</xdr:colOff>
      <xdr:row>19</xdr:row>
      <xdr:rowOff>163287</xdr:rowOff>
    </xdr:from>
    <xdr:to>
      <xdr:col>22</xdr:col>
      <xdr:colOff>511628</xdr:colOff>
      <xdr:row>21</xdr:row>
      <xdr:rowOff>163287</xdr:rowOff>
    </xdr:to>
    <xdr:sp macro="" textlink="">
      <xdr:nvSpPr>
        <xdr:cNvPr id="15" name="Left Brace 14">
          <a:extLst>
            <a:ext uri="{FF2B5EF4-FFF2-40B4-BE49-F238E27FC236}">
              <a16:creationId xmlns:a16="http://schemas.microsoft.com/office/drawing/2014/main" id="{983E3EE4-6AF1-4510-B454-97D783B4A2AB}"/>
            </a:ext>
          </a:extLst>
        </xdr:cNvPr>
        <xdr:cNvSpPr/>
      </xdr:nvSpPr>
      <xdr:spPr>
        <a:xfrm>
          <a:off x="15936686" y="3842658"/>
          <a:ext cx="283028" cy="391886"/>
        </a:xfrm>
        <a:prstGeom prst="lef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22</xdr:col>
      <xdr:colOff>195943</xdr:colOff>
      <xdr:row>22</xdr:row>
      <xdr:rowOff>141513</xdr:rowOff>
    </xdr:from>
    <xdr:to>
      <xdr:col>22</xdr:col>
      <xdr:colOff>544285</xdr:colOff>
      <xdr:row>36</xdr:row>
      <xdr:rowOff>185057</xdr:rowOff>
    </xdr:to>
    <xdr:sp macro="" textlink="">
      <xdr:nvSpPr>
        <xdr:cNvPr id="16" name="Left Brace 15">
          <a:extLst>
            <a:ext uri="{FF2B5EF4-FFF2-40B4-BE49-F238E27FC236}">
              <a16:creationId xmlns:a16="http://schemas.microsoft.com/office/drawing/2014/main" id="{6A45EAC0-E9AE-483A-B681-4073B1493143}"/>
            </a:ext>
          </a:extLst>
        </xdr:cNvPr>
        <xdr:cNvSpPr/>
      </xdr:nvSpPr>
      <xdr:spPr>
        <a:xfrm>
          <a:off x="15904029" y="4408713"/>
          <a:ext cx="348342" cy="2786744"/>
        </a:xfrm>
        <a:prstGeom prst="lef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137161</xdr:colOff>
      <xdr:row>19</xdr:row>
      <xdr:rowOff>53340</xdr:rowOff>
    </xdr:from>
    <xdr:to>
      <xdr:col>23</xdr:col>
      <xdr:colOff>4876</xdr:colOff>
      <xdr:row>31</xdr:row>
      <xdr:rowOff>106680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AFF1D-E09C-461D-B2F3-FBBF993B2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9241" y="3291840"/>
          <a:ext cx="3167174" cy="2331720"/>
        </a:xfrm>
        <a:prstGeom prst="rect">
          <a:avLst/>
        </a:prstGeom>
      </xdr:spPr>
    </xdr:pic>
    <xdr:clientData/>
  </xdr:twoCellAnchor>
  <xdr:twoCellAnchor>
    <xdr:from>
      <xdr:col>11</xdr:col>
      <xdr:colOff>163286</xdr:colOff>
      <xdr:row>1</xdr:row>
      <xdr:rowOff>21772</xdr:rowOff>
    </xdr:from>
    <xdr:to>
      <xdr:col>11</xdr:col>
      <xdr:colOff>489858</xdr:colOff>
      <xdr:row>42</xdr:row>
      <xdr:rowOff>188323</xdr:rowOff>
    </xdr:to>
    <xdr:sp macro="" textlink="">
      <xdr:nvSpPr>
        <xdr:cNvPr id="3" name="Left Brace 2">
          <a:extLst>
            <a:ext uri="{FF2B5EF4-FFF2-40B4-BE49-F238E27FC236}">
              <a16:creationId xmlns:a16="http://schemas.microsoft.com/office/drawing/2014/main" id="{AA72BD5D-A06A-46D4-AE91-0710FEBC8338}"/>
            </a:ext>
          </a:extLst>
        </xdr:cNvPr>
        <xdr:cNvSpPr/>
      </xdr:nvSpPr>
      <xdr:spPr>
        <a:xfrm>
          <a:off x="7761515" y="217715"/>
          <a:ext cx="326572" cy="8124008"/>
        </a:xfrm>
        <a:prstGeom prst="lef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95F9A-5307-47C2-BBBC-7A1132F23E6E}">
  <dimension ref="A1:BN50"/>
  <sheetViews>
    <sheetView tabSelected="1" view="pageLayout" topLeftCell="A18" zoomScale="40" zoomScaleNormal="100" zoomScaleSheetLayoutView="55" zoomScalePageLayoutView="40" workbookViewId="0">
      <selection activeCell="L14" sqref="L14"/>
    </sheetView>
  </sheetViews>
  <sheetFormatPr defaultRowHeight="15"/>
  <cols>
    <col min="1" max="1" width="11.7109375" style="2" customWidth="1"/>
    <col min="2" max="2" width="12.5703125" style="2" customWidth="1"/>
    <col min="3" max="9" width="8.85546875" style="2"/>
    <col min="10" max="10" width="13.28515625" style="2" customWidth="1"/>
    <col min="11" max="11" width="11" style="2" bestFit="1" customWidth="1"/>
    <col min="12" max="12" width="8.85546875" style="2"/>
    <col min="13" max="13" width="11.42578125" style="2" customWidth="1"/>
    <col min="14" max="14" width="25.42578125" style="2" bestFit="1" customWidth="1"/>
    <col min="15" max="15" width="8.85546875" style="2"/>
    <col min="16" max="16" width="9.5703125" style="2" bestFit="1" customWidth="1"/>
    <col min="17" max="17" width="11.5703125" style="2" customWidth="1"/>
    <col min="18" max="18" width="14.7109375" style="2" customWidth="1"/>
    <col min="19" max="19" width="12.5703125" style="2" customWidth="1"/>
    <col min="20" max="20" width="8.85546875" style="2"/>
    <col min="21" max="21" width="25.5703125" style="2" customWidth="1"/>
    <col min="22" max="25" width="8.85546875" style="2"/>
    <col min="26" max="26" width="8.28515625" style="2" customWidth="1"/>
    <col min="27" max="27" width="12.7109375" style="2" customWidth="1"/>
    <col min="28" max="28" width="10.5703125" style="2" bestFit="1" customWidth="1"/>
    <col min="29" max="29" width="11.42578125" style="2" bestFit="1" customWidth="1"/>
    <col min="30" max="30" width="10.28515625" style="2" bestFit="1" customWidth="1"/>
    <col min="31" max="66" width="8.85546875" style="2"/>
  </cols>
  <sheetData>
    <row r="1" spans="1:30" ht="15.75" thickBot="1">
      <c r="A1" s="28" t="s">
        <v>172</v>
      </c>
      <c r="B1" s="29"/>
      <c r="C1" s="29"/>
      <c r="D1" s="29"/>
      <c r="M1" s="5" t="s">
        <v>77</v>
      </c>
      <c r="X1" s="5" t="s">
        <v>85</v>
      </c>
    </row>
    <row r="2" spans="1:30" ht="15.75" thickBot="1">
      <c r="M2" s="5" t="s">
        <v>142</v>
      </c>
      <c r="V2" s="27">
        <v>10</v>
      </c>
      <c r="X2" s="2" t="s">
        <v>86</v>
      </c>
    </row>
    <row r="3" spans="1:30" ht="15.75" thickBot="1">
      <c r="A3" s="5" t="s">
        <v>0</v>
      </c>
      <c r="M3" s="2" t="s">
        <v>135</v>
      </c>
      <c r="O3" s="2" t="s">
        <v>137</v>
      </c>
      <c r="X3" s="2" t="s">
        <v>1</v>
      </c>
      <c r="Y3" s="6">
        <f>(16*B4/PI()*SQRT(4*(R49*S17/N34)^2+3*(R50*S21/N34)^2+4*(R49*S18/B7)^2+3*(R50*S22/B7)^2))^(1/3)</f>
        <v>133.54500863896621</v>
      </c>
      <c r="Z3" s="2" t="s">
        <v>4</v>
      </c>
      <c r="AA3" s="13" t="str">
        <f>IF(ABS(N37-Y3)/N37&lt;0.01,"error entre di y d &lt; 1% … OK","error entre di y d &gt; 1% … siga iterando")</f>
        <v>error entre di y d &lt; 1% … OK</v>
      </c>
      <c r="AD3" s="2" t="s">
        <v>81</v>
      </c>
    </row>
    <row r="4" spans="1:30" ht="15.75" thickBot="1">
      <c r="A4" s="2" t="s">
        <v>2</v>
      </c>
      <c r="B4" s="4">
        <v>2.5</v>
      </c>
      <c r="C4" s="2" t="s">
        <v>31</v>
      </c>
      <c r="M4" s="2" t="s">
        <v>136</v>
      </c>
      <c r="O4" s="2" t="s">
        <v>138</v>
      </c>
    </row>
    <row r="5" spans="1:30" ht="15.75" thickBot="1">
      <c r="M5" s="2" t="s">
        <v>139</v>
      </c>
      <c r="O5" s="2" t="s">
        <v>140</v>
      </c>
      <c r="X5" s="5" t="s">
        <v>143</v>
      </c>
    </row>
    <row r="6" spans="1:30" ht="15.75" thickBot="1">
      <c r="A6" s="2" t="s">
        <v>16</v>
      </c>
      <c r="B6" s="4">
        <v>1000</v>
      </c>
      <c r="C6" s="2" t="s">
        <v>32</v>
      </c>
      <c r="D6" s="2" t="s">
        <v>14</v>
      </c>
      <c r="I6" s="2">
        <v>1200</v>
      </c>
      <c r="M6" s="2" t="s">
        <v>133</v>
      </c>
      <c r="N6" s="2" t="s">
        <v>134</v>
      </c>
      <c r="X6" s="2" t="s">
        <v>87</v>
      </c>
    </row>
    <row r="7" spans="1:30" ht="15.75" thickBot="1">
      <c r="A7" s="2" t="s">
        <v>17</v>
      </c>
      <c r="B7" s="4">
        <v>800</v>
      </c>
      <c r="C7" s="2" t="s">
        <v>32</v>
      </c>
      <c r="D7" s="2" t="s">
        <v>15</v>
      </c>
      <c r="I7" s="2">
        <v>1000</v>
      </c>
      <c r="K7" s="27">
        <v>8</v>
      </c>
      <c r="M7" s="2">
        <v>0</v>
      </c>
      <c r="N7" s="2">
        <f>-65000*M7</f>
        <v>0</v>
      </c>
      <c r="X7" s="2" t="s">
        <v>61</v>
      </c>
      <c r="Y7" s="6">
        <f>-R49*N47*((N37/2)*(N37/2)+N38*N38)/((N37/2)*(N37/2)-N38*N38)</f>
        <v>-99.198000000000008</v>
      </c>
      <c r="Z7" s="2" t="s">
        <v>32</v>
      </c>
      <c r="AA7" s="2" t="s">
        <v>89</v>
      </c>
    </row>
    <row r="8" spans="1:30" ht="15.75" thickBot="1">
      <c r="A8" s="2" t="s">
        <v>22</v>
      </c>
      <c r="B8" s="4">
        <v>200000</v>
      </c>
      <c r="C8" s="2" t="s">
        <v>32</v>
      </c>
      <c r="D8" s="2" t="s">
        <v>26</v>
      </c>
      <c r="I8" s="2">
        <v>200000</v>
      </c>
      <c r="M8" s="2">
        <v>200</v>
      </c>
      <c r="N8" s="2">
        <f>-65000*200</f>
        <v>-13000000</v>
      </c>
      <c r="V8" s="27">
        <v>4</v>
      </c>
      <c r="X8" s="2" t="s">
        <v>62</v>
      </c>
      <c r="Y8" s="6">
        <f>-R49*N47</f>
        <v>-99.198000000000008</v>
      </c>
      <c r="Z8" s="2" t="s">
        <v>32</v>
      </c>
      <c r="AA8" s="2" t="s">
        <v>90</v>
      </c>
    </row>
    <row r="9" spans="1:30" ht="15.75" thickBot="1">
      <c r="A9" s="2" t="s">
        <v>23</v>
      </c>
      <c r="B9" s="4">
        <v>0.3</v>
      </c>
      <c r="C9" s="2" t="s">
        <v>31</v>
      </c>
      <c r="D9" s="2" t="s">
        <v>27</v>
      </c>
      <c r="I9" s="2">
        <v>0.3</v>
      </c>
      <c r="M9" s="2">
        <v>500</v>
      </c>
      <c r="N9" s="2">
        <f>-65000*200</f>
        <v>-13000000</v>
      </c>
      <c r="X9" s="2" t="s">
        <v>63</v>
      </c>
      <c r="Y9" s="6">
        <f>R49*N47*(B22*B22+(N37/2)*(N37/2))/(B22*B22-(N37/2)*(N37/2))</f>
        <v>260.80200000000002</v>
      </c>
      <c r="Z9" s="2" t="s">
        <v>32</v>
      </c>
      <c r="AA9" s="2" t="s">
        <v>91</v>
      </c>
    </row>
    <row r="10" spans="1:30" ht="15.75" thickBot="1">
      <c r="M10" s="2">
        <v>1500</v>
      </c>
      <c r="N10" s="2">
        <f>-65000*200</f>
        <v>-13000000</v>
      </c>
      <c r="X10" s="2" t="s">
        <v>64</v>
      </c>
      <c r="Y10" s="6">
        <f>-R49*N47</f>
        <v>-99.198000000000008</v>
      </c>
      <c r="Z10" s="2" t="s">
        <v>32</v>
      </c>
      <c r="AA10" s="2" t="s">
        <v>92</v>
      </c>
    </row>
    <row r="11" spans="1:30" ht="15.75" thickBot="1">
      <c r="A11" s="2" t="s">
        <v>18</v>
      </c>
      <c r="B11" s="4">
        <v>1000</v>
      </c>
      <c r="C11" s="2" t="s">
        <v>32</v>
      </c>
      <c r="D11" s="2" t="s">
        <v>20</v>
      </c>
      <c r="I11" s="2">
        <v>1200</v>
      </c>
      <c r="M11" s="2">
        <v>1868</v>
      </c>
      <c r="N11" s="2">
        <f>65000*M11-134420000</f>
        <v>-13000000</v>
      </c>
    </row>
    <row r="12" spans="1:30" ht="15.75" thickBot="1">
      <c r="A12" s="2" t="s">
        <v>19</v>
      </c>
      <c r="B12" s="4">
        <v>800</v>
      </c>
      <c r="C12" s="2" t="s">
        <v>32</v>
      </c>
      <c r="D12" s="2" t="s">
        <v>21</v>
      </c>
      <c r="I12" s="2">
        <v>1000</v>
      </c>
      <c r="M12" s="2">
        <v>2068</v>
      </c>
      <c r="N12" s="2">
        <f>65000*M12-134420000</f>
        <v>0</v>
      </c>
      <c r="X12" s="2" t="s">
        <v>170</v>
      </c>
    </row>
    <row r="13" spans="1:30" ht="15.75" thickBot="1">
      <c r="A13" s="2" t="s">
        <v>25</v>
      </c>
      <c r="B13" s="4">
        <v>200000</v>
      </c>
      <c r="C13" s="2" t="s">
        <v>32</v>
      </c>
      <c r="D13" s="2" t="s">
        <v>28</v>
      </c>
      <c r="I13" s="2">
        <v>200000</v>
      </c>
      <c r="V13" s="27">
        <v>2</v>
      </c>
      <c r="X13" s="2" t="s">
        <v>169</v>
      </c>
      <c r="Z13" s="6">
        <f>R49*N48</f>
        <v>99.060740007257564</v>
      </c>
      <c r="AA13" s="2" t="s">
        <v>32</v>
      </c>
    </row>
    <row r="14" spans="1:30" ht="15.75" thickBot="1">
      <c r="A14" s="2" t="s">
        <v>24</v>
      </c>
      <c r="B14" s="4">
        <v>0.3</v>
      </c>
      <c r="C14" s="2" t="s">
        <v>31</v>
      </c>
      <c r="D14" s="2" t="s">
        <v>29</v>
      </c>
      <c r="I14" s="2">
        <v>0.3</v>
      </c>
      <c r="X14" s="2" t="s">
        <v>88</v>
      </c>
      <c r="Z14" s="6">
        <v>0</v>
      </c>
      <c r="AA14" s="2" t="s">
        <v>32</v>
      </c>
      <c r="AB14" s="8" t="s">
        <v>171</v>
      </c>
    </row>
    <row r="15" spans="1:30">
      <c r="M15" s="5" t="s">
        <v>69</v>
      </c>
    </row>
    <row r="16" spans="1:30" ht="15.75" thickBot="1">
      <c r="A16" s="2" t="s">
        <v>3</v>
      </c>
      <c r="M16" s="2" t="s">
        <v>127</v>
      </c>
      <c r="N16" s="7">
        <f>B28</f>
        <v>65000</v>
      </c>
      <c r="O16" s="2" t="s">
        <v>10</v>
      </c>
      <c r="P16" s="8" t="s">
        <v>132</v>
      </c>
      <c r="X16" s="2" t="s">
        <v>93</v>
      </c>
    </row>
    <row r="17" spans="1:32" ht="15.75" thickBot="1">
      <c r="A17" s="2" t="s">
        <v>11</v>
      </c>
      <c r="M17" s="2" t="s">
        <v>33</v>
      </c>
      <c r="N17" s="20">
        <f>N16*200</f>
        <v>13000000</v>
      </c>
      <c r="O17" s="2" t="s">
        <v>37</v>
      </c>
      <c r="R17" s="2" t="s">
        <v>35</v>
      </c>
      <c r="S17" s="6">
        <f>ABS(N17-N18)/2</f>
        <v>13000000</v>
      </c>
      <c r="T17" s="2" t="s">
        <v>37</v>
      </c>
      <c r="V17" s="27">
        <v>4</v>
      </c>
      <c r="X17" s="2" t="s">
        <v>66</v>
      </c>
      <c r="Y17" s="6">
        <f>SQRT(((Y7-Y8)^2+(Y7-Z13)^2+(Y8-Z13)^2)/2)</f>
        <v>198.25874000725759</v>
      </c>
      <c r="Z17" s="2" t="s">
        <v>32</v>
      </c>
      <c r="AB17" s="2" t="s">
        <v>67</v>
      </c>
      <c r="AC17" s="6">
        <f>B7/Y17</f>
        <v>4.0351310614135585</v>
      </c>
      <c r="AD17" s="8" t="str">
        <f>IF(AC17&lt;B4,"n_eje &lt; FD … rediseñar","n_eje &gt;= FD … OK")</f>
        <v>n_eje &gt;= FD … OK</v>
      </c>
    </row>
    <row r="18" spans="1:32" ht="15.75" thickBot="1">
      <c r="A18" s="2" t="s">
        <v>119</v>
      </c>
      <c r="C18" s="9"/>
      <c r="K18" s="27">
        <v>5</v>
      </c>
      <c r="M18" s="2" t="s">
        <v>34</v>
      </c>
      <c r="N18" s="20">
        <f>-N17</f>
        <v>-13000000</v>
      </c>
      <c r="O18" s="2" t="s">
        <v>37</v>
      </c>
      <c r="R18" s="2" t="s">
        <v>36</v>
      </c>
      <c r="S18" s="6">
        <f>(N17+N18)/2</f>
        <v>0</v>
      </c>
      <c r="T18" s="2" t="s">
        <v>37</v>
      </c>
      <c r="X18" s="2" t="s">
        <v>65</v>
      </c>
      <c r="Y18" s="6">
        <f>SQRT(((Y9-Y10)^2+(Y9-Z14)^2+(Y10-Z14)^2)/2)</f>
        <v>322.06981107207179</v>
      </c>
      <c r="Z18" s="2" t="s">
        <v>32</v>
      </c>
      <c r="AB18" s="2" t="s">
        <v>68</v>
      </c>
      <c r="AC18" s="6">
        <f>B12/Y18</f>
        <v>2.4839335215462914</v>
      </c>
      <c r="AD18" s="8" t="str">
        <f>IF(AC18&lt;B4,"n_acople &lt; FD … rediseñar","n_acople &gt;= FD … OK")</f>
        <v>n_acople &lt; FD … rediseñar</v>
      </c>
    </row>
    <row r="19" spans="1:32" ht="15.75" thickBot="1">
      <c r="A19" s="2" t="s">
        <v>12</v>
      </c>
      <c r="B19" s="4">
        <v>1</v>
      </c>
      <c r="C19" s="2" t="s">
        <v>30</v>
      </c>
      <c r="S19" s="6"/>
    </row>
    <row r="20" spans="1:32" ht="15.75" thickBot="1">
      <c r="A20" s="2" t="s">
        <v>60</v>
      </c>
      <c r="M20" s="5" t="s">
        <v>70</v>
      </c>
      <c r="X20" s="5" t="s">
        <v>144</v>
      </c>
    </row>
    <row r="21" spans="1:32" ht="15.75" thickBot="1">
      <c r="M21" s="2" t="s">
        <v>38</v>
      </c>
      <c r="N21" s="20">
        <v>0</v>
      </c>
      <c r="O21" s="2" t="s">
        <v>37</v>
      </c>
      <c r="R21" s="2" t="s">
        <v>40</v>
      </c>
      <c r="S21" s="6">
        <f>ABS(N21-N22)/2</f>
        <v>0</v>
      </c>
      <c r="T21" s="2" t="s">
        <v>37</v>
      </c>
      <c r="V21" s="27">
        <v>10</v>
      </c>
      <c r="X21" s="2" t="s">
        <v>71</v>
      </c>
      <c r="AA21" s="6">
        <f>2*PI()*(N37/2)*(N37/2)*B24*N47*B23</f>
        <v>21761454.546845108</v>
      </c>
      <c r="AB21" s="2" t="s">
        <v>37</v>
      </c>
      <c r="AC21" s="8" t="s">
        <v>151</v>
      </c>
    </row>
    <row r="22" spans="1:32" ht="15.75" thickBot="1">
      <c r="A22" s="2" t="s">
        <v>5</v>
      </c>
      <c r="B22" s="22">
        <f>200/2</f>
        <v>100</v>
      </c>
      <c r="C22" s="2" t="s">
        <v>4</v>
      </c>
      <c r="D22" s="2" t="s">
        <v>6</v>
      </c>
      <c r="G22" s="8"/>
      <c r="M22" s="2" t="s">
        <v>39</v>
      </c>
      <c r="N22" s="20">
        <f>N21</f>
        <v>0</v>
      </c>
      <c r="O22" s="2" t="s">
        <v>37</v>
      </c>
      <c r="R22" s="2" t="s">
        <v>41</v>
      </c>
      <c r="S22" s="6">
        <f>(N21+N22)/2</f>
        <v>0</v>
      </c>
      <c r="T22" s="2" t="s">
        <v>37</v>
      </c>
      <c r="X22" s="2" t="s">
        <v>128</v>
      </c>
      <c r="AA22" s="6">
        <f>AA21/B29</f>
        <v>3.6269090911408512</v>
      </c>
      <c r="AB22" s="8" t="str">
        <f>IF(AA22&lt;1,"La junta no es capaz de transmitir el torque de operación … rediseñar","OK … junta es capaz de transmitir torque de operación")</f>
        <v>OK … junta es capaz de transmitir torque de operación</v>
      </c>
    </row>
    <row r="23" spans="1:32" ht="15.75" thickBot="1">
      <c r="A23" s="2" t="s">
        <v>13</v>
      </c>
      <c r="B23" s="4">
        <v>70</v>
      </c>
      <c r="C23" s="2" t="s">
        <v>4</v>
      </c>
      <c r="D23" s="2" t="s">
        <v>158</v>
      </c>
    </row>
    <row r="24" spans="1:32" ht="15.75" thickBot="1">
      <c r="A24" s="2" t="s">
        <v>72</v>
      </c>
      <c r="B24" s="4">
        <v>0.2</v>
      </c>
      <c r="C24" s="2" t="s">
        <v>31</v>
      </c>
      <c r="M24" s="5" t="s">
        <v>73</v>
      </c>
      <c r="X24" s="5" t="s">
        <v>148</v>
      </c>
    </row>
    <row r="25" spans="1:32" ht="15.75" thickBot="1">
      <c r="M25" s="2" t="s">
        <v>42</v>
      </c>
      <c r="N25" s="11">
        <f>Q25*(B6)^S25</f>
        <v>0.8783287264872377</v>
      </c>
      <c r="O25" s="2" t="s">
        <v>31</v>
      </c>
      <c r="P25" s="10" t="s">
        <v>48</v>
      </c>
      <c r="Q25" s="4">
        <v>1.58</v>
      </c>
      <c r="R25" s="10" t="s">
        <v>49</v>
      </c>
      <c r="S25" s="4">
        <v>-8.5000000000000006E-2</v>
      </c>
      <c r="X25" s="2" t="s">
        <v>103</v>
      </c>
    </row>
    <row r="26" spans="1:32" ht="15.75" thickBot="1">
      <c r="A26" s="2" t="s">
        <v>7</v>
      </c>
      <c r="B26" s="4">
        <v>750</v>
      </c>
      <c r="C26" s="2" t="s">
        <v>8</v>
      </c>
      <c r="D26" s="2" t="s">
        <v>9</v>
      </c>
      <c r="M26" s="2" t="s">
        <v>43</v>
      </c>
      <c r="N26" s="11">
        <f>IF(N37&gt;51,1.51*N37^(-0.157),1.24*N37^(-0.107))</f>
        <v>0.69987663319354587</v>
      </c>
      <c r="O26" s="2" t="s">
        <v>31</v>
      </c>
    </row>
    <row r="27" spans="1:32" ht="15.75" thickBot="1">
      <c r="K27" s="27">
        <v>5</v>
      </c>
      <c r="M27" s="2" t="s">
        <v>44</v>
      </c>
      <c r="N27" s="14">
        <v>1</v>
      </c>
      <c r="O27" s="2" t="s">
        <v>31</v>
      </c>
      <c r="X27" s="2" t="s">
        <v>96</v>
      </c>
      <c r="AB27" s="2" t="s">
        <v>115</v>
      </c>
      <c r="AD27" s="16">
        <f>SQRT(B31)</f>
        <v>0.94868329805051377</v>
      </c>
      <c r="AE27" s="2" t="s">
        <v>31</v>
      </c>
    </row>
    <row r="28" spans="1:32" ht="15.75" thickBot="1">
      <c r="A28" s="2" t="s">
        <v>53</v>
      </c>
      <c r="B28" s="4">
        <v>65000</v>
      </c>
      <c r="C28" s="2" t="s">
        <v>10</v>
      </c>
      <c r="D28" s="2" t="s">
        <v>126</v>
      </c>
      <c r="M28" s="2" t="s">
        <v>45</v>
      </c>
      <c r="N28" s="14">
        <v>1</v>
      </c>
      <c r="O28" s="2" t="s">
        <v>31</v>
      </c>
      <c r="X28" s="2" t="s">
        <v>102</v>
      </c>
      <c r="AB28" s="2" t="s">
        <v>130</v>
      </c>
      <c r="AD28" s="6">
        <f>N16</f>
        <v>65000</v>
      </c>
      <c r="AE28" s="2" t="s">
        <v>10</v>
      </c>
    </row>
    <row r="29" spans="1:32" ht="15.75" thickBot="1">
      <c r="A29" s="2" t="s">
        <v>123</v>
      </c>
      <c r="B29" s="21">
        <v>6000000</v>
      </c>
      <c r="C29" s="2" t="s">
        <v>37</v>
      </c>
      <c r="M29" s="2" t="s">
        <v>46</v>
      </c>
      <c r="N29" s="14">
        <v>0.81399999999999995</v>
      </c>
      <c r="O29" s="2" t="s">
        <v>31</v>
      </c>
      <c r="X29" s="2" t="s">
        <v>104</v>
      </c>
      <c r="AB29" s="2" t="s">
        <v>48</v>
      </c>
      <c r="AD29" s="15">
        <f>10/3</f>
        <v>3.3333333333333335</v>
      </c>
      <c r="AE29" s="2" t="s">
        <v>31</v>
      </c>
      <c r="AF29" s="2" t="s">
        <v>129</v>
      </c>
    </row>
    <row r="30" spans="1:32" ht="15.75" thickBot="1">
      <c r="B30" s="17"/>
      <c r="M30" s="2" t="s">
        <v>47</v>
      </c>
      <c r="N30" s="11">
        <f>B19</f>
        <v>1</v>
      </c>
      <c r="O30" s="2" t="s">
        <v>31</v>
      </c>
      <c r="V30" s="27">
        <v>10</v>
      </c>
    </row>
    <row r="31" spans="1:32" ht="15.75" thickBot="1">
      <c r="A31" s="2" t="s">
        <v>94</v>
      </c>
      <c r="B31" s="15">
        <v>0.9</v>
      </c>
      <c r="C31" s="2" t="s">
        <v>31</v>
      </c>
      <c r="D31" s="2" t="s">
        <v>95</v>
      </c>
      <c r="X31" s="2" t="s">
        <v>107</v>
      </c>
      <c r="AB31" s="2" t="s">
        <v>116</v>
      </c>
      <c r="AD31" s="19">
        <f>60*B36*B26</f>
        <v>450000000</v>
      </c>
      <c r="AE31" s="2" t="s">
        <v>109</v>
      </c>
    </row>
    <row r="32" spans="1:32" ht="15.75" thickBot="1">
      <c r="A32" s="2" t="s">
        <v>97</v>
      </c>
      <c r="B32" s="15">
        <v>1.2</v>
      </c>
      <c r="D32" s="2" t="s">
        <v>99</v>
      </c>
      <c r="M32" s="5" t="s">
        <v>74</v>
      </c>
      <c r="X32" s="2" t="s">
        <v>113</v>
      </c>
      <c r="AB32" s="2" t="s">
        <v>114</v>
      </c>
      <c r="AD32" s="6">
        <f>AD31/B37</f>
        <v>450</v>
      </c>
      <c r="AE32" s="2" t="s">
        <v>31</v>
      </c>
    </row>
    <row r="33" spans="1:35" ht="15.75" thickBot="1">
      <c r="A33" s="2" t="s">
        <v>98</v>
      </c>
      <c r="B33" s="15">
        <v>0.02</v>
      </c>
      <c r="C33" s="2" t="s">
        <v>31</v>
      </c>
      <c r="D33" s="2" t="s">
        <v>101</v>
      </c>
      <c r="K33" s="27">
        <v>2</v>
      </c>
      <c r="M33" s="2" t="s">
        <v>51</v>
      </c>
      <c r="N33" s="6">
        <f>IF(B6&lt;1400,0.5*B6,700)</f>
        <v>500</v>
      </c>
      <c r="O33" s="2" t="s">
        <v>32</v>
      </c>
      <c r="X33" s="2" t="s">
        <v>117</v>
      </c>
      <c r="AB33" s="2" t="s">
        <v>118</v>
      </c>
      <c r="AC33" s="6">
        <f>B32*AD28*(AD32/(B33+B34*(1-AD27)^(1/B35)))^(1/AD29)</f>
        <v>562989.8087998199</v>
      </c>
      <c r="AD33" s="2" t="s">
        <v>10</v>
      </c>
      <c r="AE33" s="8" t="s">
        <v>131</v>
      </c>
    </row>
    <row r="34" spans="1:35" ht="15.75" thickBot="1">
      <c r="A34" s="12" t="s">
        <v>100</v>
      </c>
      <c r="B34" s="15">
        <v>4.4390000000000001</v>
      </c>
      <c r="C34" s="2" t="s">
        <v>31</v>
      </c>
      <c r="D34" s="2" t="s">
        <v>101</v>
      </c>
      <c r="M34" s="2" t="s">
        <v>52</v>
      </c>
      <c r="N34" s="6">
        <f>N25*N26*N27*N28*N29*N30*N33</f>
        <v>250.1917530359425</v>
      </c>
      <c r="O34" s="2" t="s">
        <v>32</v>
      </c>
      <c r="AB34" s="2" t="s">
        <v>120</v>
      </c>
      <c r="AC34" s="2" t="s">
        <v>124</v>
      </c>
    </row>
    <row r="35" spans="1:35" ht="15.75" thickBot="1">
      <c r="A35" s="2" t="s">
        <v>49</v>
      </c>
      <c r="B35" s="15">
        <v>1.4830000000000001</v>
      </c>
      <c r="C35" s="2" t="s">
        <v>31</v>
      </c>
      <c r="D35" s="2" t="s">
        <v>101</v>
      </c>
      <c r="AC35" s="2" t="s">
        <v>125</v>
      </c>
      <c r="AI35" s="17"/>
    </row>
    <row r="36" spans="1:35" ht="15.75" thickBot="1">
      <c r="A36" s="2" t="s">
        <v>108</v>
      </c>
      <c r="B36" s="15">
        <v>10000</v>
      </c>
      <c r="C36" s="2" t="s">
        <v>105</v>
      </c>
      <c r="D36" s="2" t="s">
        <v>106</v>
      </c>
      <c r="M36" s="5" t="s">
        <v>168</v>
      </c>
      <c r="AC36" s="2" t="s">
        <v>118</v>
      </c>
      <c r="AD36" s="4">
        <v>682</v>
      </c>
      <c r="AE36" s="2" t="s">
        <v>121</v>
      </c>
      <c r="AF36" s="8"/>
    </row>
    <row r="37" spans="1:35" ht="15.75" thickBot="1">
      <c r="A37" s="2" t="s">
        <v>110</v>
      </c>
      <c r="B37" s="18">
        <f>10^6</f>
        <v>1000000</v>
      </c>
      <c r="C37" s="2" t="s">
        <v>111</v>
      </c>
      <c r="D37" s="2" t="s">
        <v>112</v>
      </c>
      <c r="M37" s="2" t="s">
        <v>50</v>
      </c>
      <c r="N37" s="1">
        <v>134</v>
      </c>
      <c r="O37" s="2" t="s">
        <v>4</v>
      </c>
      <c r="P37" s="2" t="s">
        <v>80</v>
      </c>
      <c r="AC37" s="2" t="s">
        <v>122</v>
      </c>
      <c r="AD37" s="4">
        <v>140</v>
      </c>
      <c r="AE37" s="2" t="s">
        <v>4</v>
      </c>
      <c r="AF37" s="8" t="str">
        <f>IF(AD37&gt;N37,"&gt; di … OK","&lt;= di … elegir rodamiento siguiente en la tabla")</f>
        <v>&gt; di … OK</v>
      </c>
    </row>
    <row r="38" spans="1:35">
      <c r="B38" s="17"/>
      <c r="M38" s="2" t="s">
        <v>54</v>
      </c>
      <c r="N38" s="7">
        <v>0</v>
      </c>
      <c r="O38" s="2" t="s">
        <v>4</v>
      </c>
      <c r="P38" s="2" t="s">
        <v>79</v>
      </c>
    </row>
    <row r="39" spans="1:35">
      <c r="M39" s="2" t="s">
        <v>55</v>
      </c>
      <c r="N39" s="6">
        <f>PI()*(N37^4)/64</f>
        <v>15826653.423799751</v>
      </c>
      <c r="O39" s="2" t="s">
        <v>56</v>
      </c>
      <c r="P39" s="2" t="s">
        <v>57</v>
      </c>
    </row>
    <row r="40" spans="1:35">
      <c r="B40" s="2" t="s">
        <v>159</v>
      </c>
    </row>
    <row r="41" spans="1:35">
      <c r="C41" s="25" t="s">
        <v>164</v>
      </c>
      <c r="D41" s="25" t="s">
        <v>165</v>
      </c>
      <c r="M41" s="5" t="s">
        <v>75</v>
      </c>
      <c r="N41" s="8"/>
    </row>
    <row r="42" spans="1:35">
      <c r="B42" s="2" t="s">
        <v>160</v>
      </c>
      <c r="C42" s="25">
        <v>40</v>
      </c>
      <c r="D42" s="26">
        <f>K7+K18+K27+K33+K45+V2+'Continuación Soln. (a)'!K23</f>
        <v>40</v>
      </c>
      <c r="M42" s="2" t="s">
        <v>145</v>
      </c>
    </row>
    <row r="43" spans="1:35">
      <c r="B43" s="2" t="s">
        <v>161</v>
      </c>
      <c r="C43" s="25">
        <v>10</v>
      </c>
      <c r="D43" s="26">
        <f>V8+V13+V17</f>
        <v>10</v>
      </c>
      <c r="M43" s="2" t="s">
        <v>146</v>
      </c>
    </row>
    <row r="44" spans="1:35" ht="15.75" thickBot="1">
      <c r="B44" s="2" t="s">
        <v>162</v>
      </c>
      <c r="C44" s="25">
        <v>10</v>
      </c>
      <c r="D44" s="26">
        <f>V21</f>
        <v>10</v>
      </c>
      <c r="M44" s="2" t="s">
        <v>147</v>
      </c>
    </row>
    <row r="45" spans="1:35" ht="15.75" thickBot="1">
      <c r="B45" s="2" t="s">
        <v>163</v>
      </c>
      <c r="C45" s="25">
        <v>10</v>
      </c>
      <c r="D45" s="26">
        <f>V30</f>
        <v>10</v>
      </c>
      <c r="K45" s="27">
        <v>5</v>
      </c>
    </row>
    <row r="46" spans="1:35">
      <c r="M46" s="12" t="s">
        <v>149</v>
      </c>
      <c r="N46" s="2">
        <f>0.001*N37</f>
        <v>0.13400000000000001</v>
      </c>
      <c r="O46" s="2" t="s">
        <v>4</v>
      </c>
      <c r="P46" s="2" t="s">
        <v>150</v>
      </c>
    </row>
    <row r="47" spans="1:35">
      <c r="M47" s="2" t="s">
        <v>53</v>
      </c>
      <c r="N47" s="6">
        <f>0.5*N46/((N37/2)/B13*((B22*B22+(N37/2)*(N37/2))/(B22*B22-(N37/2)*(N37/2))+B14)+(N37/2)/B8*((N38*N38+(N37/2)*(N37/2))/(-N38*N38+(N37/2)*(N37/2))-B9))</f>
        <v>55.110000000000007</v>
      </c>
      <c r="O47" s="2" t="s">
        <v>32</v>
      </c>
      <c r="Q47" s="2" t="s">
        <v>167</v>
      </c>
      <c r="R47" s="11">
        <f>N47/N48</f>
        <v>1.0013856144496032</v>
      </c>
      <c r="S47" s="2" t="s">
        <v>31</v>
      </c>
    </row>
    <row r="48" spans="1:35" ht="15.75" thickBot="1">
      <c r="M48" s="12" t="s">
        <v>166</v>
      </c>
      <c r="N48" s="6">
        <f>(S17+S18)*(N37/2)/N39</f>
        <v>55.033744448476426</v>
      </c>
      <c r="O48" s="2" t="s">
        <v>32</v>
      </c>
      <c r="Q48" s="2" t="s">
        <v>58</v>
      </c>
      <c r="R48" s="6">
        <f>B23/N37</f>
        <v>0.52238805970149249</v>
      </c>
      <c r="S48" s="2" t="s">
        <v>31</v>
      </c>
    </row>
    <row r="49" spans="14:19" ht="15.75" thickBot="1">
      <c r="Q49" s="3" t="s">
        <v>59</v>
      </c>
      <c r="R49" s="4">
        <v>1.8</v>
      </c>
      <c r="S49" s="2" t="s">
        <v>31</v>
      </c>
    </row>
    <row r="50" spans="14:19">
      <c r="N50" s="2" t="s">
        <v>141</v>
      </c>
      <c r="Q50" s="2" t="s">
        <v>84</v>
      </c>
      <c r="R50" s="3">
        <v>1</v>
      </c>
      <c r="S50" s="2" t="s">
        <v>31</v>
      </c>
    </row>
  </sheetData>
  <pageMargins left="0.25" right="0.25" top="0.75" bottom="8.8541666666666671E-2" header="0.3" footer="0.3"/>
  <pageSetup scale="68" orientation="landscape" r:id="rId1"/>
  <colBreaks count="2" manualBreakCount="2">
    <brk id="10" max="1048575" man="1"/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21609-F4ED-4E61-8BC7-659407928400}">
  <sheetPr>
    <pageSetUpPr fitToPage="1"/>
  </sheetPr>
  <dimension ref="A1:BN53"/>
  <sheetViews>
    <sheetView view="pageLayout" zoomScale="25" zoomScaleNormal="40" zoomScaleSheetLayoutView="55" zoomScalePageLayoutView="25" workbookViewId="0">
      <selection activeCell="W35" sqref="W35"/>
    </sheetView>
  </sheetViews>
  <sheetFormatPr defaultRowHeight="15"/>
  <cols>
    <col min="1" max="1" width="11.7109375" style="2" customWidth="1"/>
    <col min="2" max="2" width="12.5703125" style="2" customWidth="1"/>
    <col min="3" max="9" width="8.85546875" style="2"/>
    <col min="10" max="10" width="31.85546875" style="2" customWidth="1"/>
    <col min="11" max="11" width="11" style="2" bestFit="1" customWidth="1"/>
    <col min="12" max="12" width="8.85546875" style="2"/>
    <col min="13" max="13" width="11.42578125" style="2" customWidth="1"/>
    <col min="14" max="14" width="14" style="2" customWidth="1"/>
    <col min="15" max="15" width="8.85546875" style="2"/>
    <col min="16" max="16" width="9.5703125" style="2" bestFit="1" customWidth="1"/>
    <col min="17" max="17" width="11.5703125" style="2" customWidth="1"/>
    <col min="18" max="18" width="14.7109375" style="2" customWidth="1"/>
    <col min="19" max="19" width="12.5703125" style="2" customWidth="1"/>
    <col min="20" max="22" width="8.85546875" style="2"/>
    <col min="23" max="23" width="8.85546875" style="2" customWidth="1"/>
    <col min="24" max="27" width="8.85546875" style="2"/>
    <col min="28" max="28" width="10.5703125" style="2" bestFit="1" customWidth="1"/>
    <col min="29" max="66" width="8.85546875" style="2"/>
  </cols>
  <sheetData>
    <row r="1" spans="1:34" ht="15.75" thickBot="1">
      <c r="A1" s="5" t="s">
        <v>0</v>
      </c>
      <c r="M1" s="5" t="s">
        <v>77</v>
      </c>
      <c r="X1" s="5"/>
    </row>
    <row r="2" spans="1:34" ht="15.75" thickBot="1">
      <c r="A2" s="2" t="s">
        <v>2</v>
      </c>
      <c r="B2" s="4">
        <v>2.5</v>
      </c>
      <c r="C2" s="2" t="s">
        <v>31</v>
      </c>
      <c r="M2" s="8" t="s">
        <v>155</v>
      </c>
    </row>
    <row r="3" spans="1:34" ht="15.75" thickBot="1"/>
    <row r="4" spans="1:34" ht="15.75" thickBot="1">
      <c r="A4" s="2" t="s">
        <v>16</v>
      </c>
      <c r="B4" s="4">
        <v>1000</v>
      </c>
      <c r="C4" s="2" t="s">
        <v>32</v>
      </c>
      <c r="D4" s="2" t="s">
        <v>14</v>
      </c>
      <c r="I4" s="2">
        <v>1200</v>
      </c>
      <c r="M4" s="2" t="s">
        <v>50</v>
      </c>
      <c r="N4" s="1">
        <v>83.5</v>
      </c>
      <c r="O4" s="2" t="s">
        <v>4</v>
      </c>
      <c r="P4" s="2" t="s">
        <v>80</v>
      </c>
      <c r="AC4" s="16"/>
    </row>
    <row r="5" spans="1:34" ht="15.75" thickBot="1">
      <c r="A5" s="2" t="s">
        <v>17</v>
      </c>
      <c r="B5" s="4">
        <v>800</v>
      </c>
      <c r="C5" s="2" t="s">
        <v>32</v>
      </c>
      <c r="D5" s="2" t="s">
        <v>15</v>
      </c>
      <c r="I5" s="2">
        <v>1000</v>
      </c>
      <c r="M5" s="2" t="s">
        <v>54</v>
      </c>
      <c r="N5" s="7">
        <v>0</v>
      </c>
      <c r="O5" s="2" t="s">
        <v>4</v>
      </c>
      <c r="P5" s="2" t="s">
        <v>79</v>
      </c>
      <c r="AB5" s="6"/>
    </row>
    <row r="6" spans="1:34" ht="15.75" thickBot="1">
      <c r="A6" s="2" t="s">
        <v>22</v>
      </c>
      <c r="B6" s="4">
        <v>200000</v>
      </c>
      <c r="C6" s="2" t="s">
        <v>32</v>
      </c>
      <c r="D6" s="2" t="s">
        <v>26</v>
      </c>
      <c r="I6" s="2">
        <v>200000</v>
      </c>
      <c r="M6" s="2" t="s">
        <v>55</v>
      </c>
      <c r="N6" s="6">
        <f>PI()*(N4^4)/64</f>
        <v>2386249.2266042661</v>
      </c>
      <c r="O6" s="2" t="s">
        <v>56</v>
      </c>
      <c r="P6" s="2" t="s">
        <v>57</v>
      </c>
      <c r="AB6" s="23"/>
    </row>
    <row r="7" spans="1:34" ht="15.75" thickBot="1">
      <c r="A7" s="2" t="s">
        <v>23</v>
      </c>
      <c r="B7" s="4">
        <v>0.3</v>
      </c>
      <c r="C7" s="2" t="s">
        <v>31</v>
      </c>
      <c r="D7" s="2" t="s">
        <v>27</v>
      </c>
      <c r="I7" s="2">
        <v>0.3</v>
      </c>
    </row>
    <row r="8" spans="1:34" ht="15.75" thickBot="1">
      <c r="M8" s="5" t="s">
        <v>156</v>
      </c>
      <c r="AC8" s="19"/>
    </row>
    <row r="9" spans="1:34" ht="15.75" thickBot="1">
      <c r="A9" s="2" t="s">
        <v>18</v>
      </c>
      <c r="B9" s="4">
        <v>1000</v>
      </c>
      <c r="C9" s="2" t="s">
        <v>32</v>
      </c>
      <c r="D9" s="2" t="s">
        <v>20</v>
      </c>
      <c r="I9" s="2">
        <v>1200</v>
      </c>
      <c r="M9" s="2" t="s">
        <v>127</v>
      </c>
      <c r="N9" s="7">
        <f>B26</f>
        <v>65000</v>
      </c>
      <c r="O9" s="2" t="s">
        <v>10</v>
      </c>
      <c r="P9" s="8" t="s">
        <v>78</v>
      </c>
      <c r="AC9" s="6"/>
    </row>
    <row r="10" spans="1:34" ht="15.75" thickBot="1">
      <c r="A10" s="2" t="s">
        <v>19</v>
      </c>
      <c r="B10" s="4">
        <v>800</v>
      </c>
      <c r="C10" s="2" t="s">
        <v>32</v>
      </c>
      <c r="D10" s="2" t="s">
        <v>21</v>
      </c>
      <c r="I10" s="2">
        <v>1000</v>
      </c>
      <c r="M10" s="2" t="s">
        <v>33</v>
      </c>
      <c r="N10" s="20">
        <f>N9*200</f>
        <v>13000000</v>
      </c>
      <c r="O10" s="2" t="s">
        <v>37</v>
      </c>
      <c r="R10" s="2" t="s">
        <v>35</v>
      </c>
      <c r="S10" s="6">
        <f>ABS(N10-N11)/2</f>
        <v>0</v>
      </c>
      <c r="T10" s="2" t="s">
        <v>37</v>
      </c>
      <c r="AB10" s="6"/>
      <c r="AD10" s="8"/>
    </row>
    <row r="11" spans="1:34" ht="15.75" thickBot="1">
      <c r="A11" s="2" t="s">
        <v>25</v>
      </c>
      <c r="B11" s="4">
        <v>200000</v>
      </c>
      <c r="C11" s="2" t="s">
        <v>32</v>
      </c>
      <c r="D11" s="2" t="s">
        <v>28</v>
      </c>
      <c r="I11" s="2">
        <v>200000</v>
      </c>
      <c r="M11" s="2" t="s">
        <v>34</v>
      </c>
      <c r="N11" s="20">
        <f>N10</f>
        <v>13000000</v>
      </c>
      <c r="O11" s="2" t="s">
        <v>37</v>
      </c>
      <c r="R11" s="2" t="s">
        <v>36</v>
      </c>
      <c r="S11" s="6">
        <f>(N10+N11)/2</f>
        <v>13000000</v>
      </c>
      <c r="T11" s="2" t="s">
        <v>37</v>
      </c>
    </row>
    <row r="12" spans="1:34" ht="15.75" thickBot="1">
      <c r="A12" s="2" t="s">
        <v>24</v>
      </c>
      <c r="B12" s="4">
        <v>0.3</v>
      </c>
      <c r="C12" s="2" t="s">
        <v>31</v>
      </c>
      <c r="D12" s="2" t="s">
        <v>29</v>
      </c>
      <c r="I12" s="2">
        <v>0.3</v>
      </c>
      <c r="S12" s="6"/>
      <c r="AH12" s="17"/>
    </row>
    <row r="13" spans="1:34">
      <c r="M13" s="5" t="s">
        <v>70</v>
      </c>
      <c r="AC13" s="17"/>
      <c r="AE13" s="8"/>
    </row>
    <row r="14" spans="1:34">
      <c r="A14" s="2" t="s">
        <v>3</v>
      </c>
      <c r="M14" s="2" t="s">
        <v>38</v>
      </c>
      <c r="N14" s="20">
        <f>6*1000000</f>
        <v>6000000</v>
      </c>
      <c r="O14" s="2" t="s">
        <v>37</v>
      </c>
      <c r="R14" s="2" t="s">
        <v>40</v>
      </c>
      <c r="S14" s="6">
        <f>ABS(N14-N15)/2</f>
        <v>0</v>
      </c>
      <c r="T14" s="2" t="s">
        <v>37</v>
      </c>
      <c r="AC14" s="17"/>
      <c r="AE14" s="8"/>
    </row>
    <row r="15" spans="1:34">
      <c r="A15" s="2" t="s">
        <v>11</v>
      </c>
      <c r="M15" s="2" t="s">
        <v>39</v>
      </c>
      <c r="N15" s="20">
        <f>N14</f>
        <v>6000000</v>
      </c>
      <c r="O15" s="2" t="s">
        <v>37</v>
      </c>
      <c r="R15" s="2" t="s">
        <v>41</v>
      </c>
      <c r="S15" s="6">
        <f>(N14+N15)/2</f>
        <v>6000000</v>
      </c>
      <c r="T15" s="2" t="s">
        <v>37</v>
      </c>
    </row>
    <row r="16" spans="1:34" ht="15.75" thickBot="1">
      <c r="A16" s="2" t="s">
        <v>119</v>
      </c>
      <c r="C16" s="9"/>
      <c r="X16" s="5"/>
    </row>
    <row r="17" spans="1:29" ht="15.75" thickBot="1">
      <c r="A17" s="2" t="s">
        <v>12</v>
      </c>
      <c r="B17" s="4">
        <v>1</v>
      </c>
      <c r="C17" s="2" t="s">
        <v>30</v>
      </c>
      <c r="M17" s="5" t="s">
        <v>73</v>
      </c>
    </row>
    <row r="18" spans="1:29" ht="15.75" thickBot="1">
      <c r="A18" s="2" t="s">
        <v>60</v>
      </c>
      <c r="M18" s="2" t="s">
        <v>42</v>
      </c>
      <c r="N18" s="11">
        <f>Q18*(B4)^S18</f>
        <v>0.8783287264872377</v>
      </c>
      <c r="O18" s="2" t="s">
        <v>31</v>
      </c>
      <c r="P18" s="10" t="s">
        <v>48</v>
      </c>
      <c r="Q18" s="4">
        <v>1.58</v>
      </c>
      <c r="R18" s="10" t="s">
        <v>49</v>
      </c>
      <c r="S18" s="4">
        <v>-8.5000000000000006E-2</v>
      </c>
      <c r="Y18" s="11"/>
    </row>
    <row r="19" spans="1:29" ht="15.75" thickBot="1">
      <c r="M19" s="2" t="s">
        <v>43</v>
      </c>
      <c r="N19" s="11">
        <f>IF(N4&gt;51,1.51*N4^(-0.157),1.24*N4^(-0.107))</f>
        <v>0.75382783667032471</v>
      </c>
      <c r="O19" s="2" t="s">
        <v>31</v>
      </c>
      <c r="Y19" s="11"/>
      <c r="AC19" s="8"/>
    </row>
    <row r="20" spans="1:29" ht="15.75" thickBot="1">
      <c r="A20" s="2" t="s">
        <v>5</v>
      </c>
      <c r="B20" s="22">
        <f>200/2</f>
        <v>100</v>
      </c>
      <c r="C20" s="2" t="s">
        <v>4</v>
      </c>
      <c r="D20" s="2" t="s">
        <v>6</v>
      </c>
      <c r="G20" s="8"/>
      <c r="M20" s="2" t="s">
        <v>44</v>
      </c>
      <c r="N20" s="14">
        <v>1</v>
      </c>
      <c r="O20" s="2" t="s">
        <v>31</v>
      </c>
      <c r="Y20" s="6"/>
    </row>
    <row r="21" spans="1:29" ht="15.75" thickBot="1">
      <c r="A21" s="2" t="s">
        <v>13</v>
      </c>
      <c r="B21" s="4">
        <v>70</v>
      </c>
      <c r="C21" s="2" t="s">
        <v>4</v>
      </c>
      <c r="D21" s="2" t="s">
        <v>158</v>
      </c>
      <c r="M21" s="2" t="s">
        <v>45</v>
      </c>
      <c r="N21" s="14">
        <v>1</v>
      </c>
      <c r="O21" s="2" t="s">
        <v>31</v>
      </c>
    </row>
    <row r="22" spans="1:29" ht="15.75" thickBot="1">
      <c r="A22" s="2" t="s">
        <v>72</v>
      </c>
      <c r="B22" s="4">
        <v>0.2</v>
      </c>
      <c r="C22" s="2" t="s">
        <v>31</v>
      </c>
      <c r="M22" s="2" t="s">
        <v>46</v>
      </c>
      <c r="N22" s="14">
        <v>0.81399999999999995</v>
      </c>
      <c r="O22" s="2" t="s">
        <v>31</v>
      </c>
    </row>
    <row r="23" spans="1:29" ht="15.75" thickBot="1">
      <c r="K23" s="27">
        <v>5</v>
      </c>
      <c r="M23" s="2" t="s">
        <v>47</v>
      </c>
      <c r="N23" s="11">
        <f>B17</f>
        <v>1</v>
      </c>
      <c r="O23" s="2" t="s">
        <v>31</v>
      </c>
    </row>
    <row r="24" spans="1:29" ht="15.75" thickBot="1">
      <c r="A24" s="2" t="s">
        <v>7</v>
      </c>
      <c r="B24" s="4">
        <v>750</v>
      </c>
      <c r="C24" s="2" t="s">
        <v>8</v>
      </c>
      <c r="D24" s="2" t="s">
        <v>9</v>
      </c>
    </row>
    <row r="25" spans="1:29" ht="15.75" thickBot="1">
      <c r="M25" s="5" t="s">
        <v>74</v>
      </c>
    </row>
    <row r="26" spans="1:29" ht="15.75" thickBot="1">
      <c r="A26" s="2" t="s">
        <v>53</v>
      </c>
      <c r="B26" s="4">
        <v>65000</v>
      </c>
      <c r="C26" s="2" t="s">
        <v>10</v>
      </c>
      <c r="D26" s="2" t="s">
        <v>126</v>
      </c>
      <c r="M26" s="2" t="s">
        <v>51</v>
      </c>
      <c r="N26" s="6">
        <f>IF(B4&lt;1400,0.5*B4,700)</f>
        <v>500</v>
      </c>
      <c r="O26" s="2" t="s">
        <v>32</v>
      </c>
    </row>
    <row r="27" spans="1:29" ht="15.75" thickBot="1">
      <c r="A27" s="2" t="s">
        <v>123</v>
      </c>
      <c r="B27" s="21">
        <v>6000000</v>
      </c>
      <c r="C27" s="2" t="s">
        <v>37</v>
      </c>
      <c r="M27" s="2" t="s">
        <v>52</v>
      </c>
      <c r="N27" s="6">
        <f>N18*N19*N20*N21*N22*N23*N26</f>
        <v>269.4782180157232</v>
      </c>
      <c r="O27" s="2" t="s">
        <v>32</v>
      </c>
    </row>
    <row r="29" spans="1:29" ht="15.75" thickBot="1">
      <c r="M29" s="5" t="s">
        <v>75</v>
      </c>
      <c r="N29" s="8"/>
    </row>
    <row r="30" spans="1:29" ht="15.75" thickBot="1">
      <c r="A30" s="2" t="s">
        <v>94</v>
      </c>
      <c r="B30" s="15">
        <v>0.9</v>
      </c>
      <c r="C30" s="2" t="s">
        <v>31</v>
      </c>
      <c r="D30" s="2" t="s">
        <v>95</v>
      </c>
      <c r="M30" s="2" t="s">
        <v>53</v>
      </c>
      <c r="N30" s="6">
        <f>0.5*0.001*N4/((N4/2)/B11*((B20*B20+(N4/2)*(N4/2))/(B20*B20-(N4/2)*(N4/2))+B12)+(N4/2)/B6*((N5*N5+(N4/2)*(N4/2))/(-N5*N5+(N4/2)*(N4/2))-B7))</f>
        <v>82.569375000000022</v>
      </c>
      <c r="O30" s="2" t="s">
        <v>32</v>
      </c>
      <c r="Q30" s="2" t="s">
        <v>83</v>
      </c>
      <c r="R30" s="11">
        <f>N30/N31</f>
        <v>0.36302368905563825</v>
      </c>
      <c r="S30" s="2" t="s">
        <v>31</v>
      </c>
    </row>
    <row r="31" spans="1:29" ht="15.75" thickBot="1">
      <c r="A31" s="2" t="s">
        <v>97</v>
      </c>
      <c r="B31" s="15">
        <v>1.2</v>
      </c>
      <c r="D31" s="2" t="s">
        <v>99</v>
      </c>
      <c r="M31" s="12" t="s">
        <v>82</v>
      </c>
      <c r="N31" s="6">
        <f>(S10+S11)*(N4/2)/N6</f>
        <v>227.44899985671501</v>
      </c>
      <c r="O31" s="2" t="s">
        <v>32</v>
      </c>
      <c r="Q31" s="2" t="s">
        <v>58</v>
      </c>
      <c r="R31" s="6">
        <f>B21/N4</f>
        <v>0.83832335329341312</v>
      </c>
      <c r="S31" s="2" t="s">
        <v>31</v>
      </c>
    </row>
    <row r="32" spans="1:29" ht="15.75" thickBot="1">
      <c r="A32" s="2" t="s">
        <v>98</v>
      </c>
      <c r="B32" s="15">
        <v>0.02</v>
      </c>
      <c r="C32" s="2" t="s">
        <v>31</v>
      </c>
      <c r="D32" s="2" t="s">
        <v>101</v>
      </c>
      <c r="Q32" s="3" t="s">
        <v>59</v>
      </c>
      <c r="R32" s="4">
        <v>1.35</v>
      </c>
      <c r="S32" s="2" t="s">
        <v>31</v>
      </c>
    </row>
    <row r="33" spans="1:23" ht="15.75" thickBot="1">
      <c r="A33" s="12" t="s">
        <v>100</v>
      </c>
      <c r="B33" s="15">
        <v>4.4390000000000001</v>
      </c>
      <c r="C33" s="2" t="s">
        <v>31</v>
      </c>
      <c r="D33" s="2" t="s">
        <v>101</v>
      </c>
      <c r="Q33" s="2" t="s">
        <v>84</v>
      </c>
      <c r="R33" s="3">
        <v>1</v>
      </c>
      <c r="S33" s="2" t="s">
        <v>31</v>
      </c>
      <c r="T33" s="2" t="s">
        <v>76</v>
      </c>
    </row>
    <row r="34" spans="1:23" ht="15.75" thickBot="1">
      <c r="A34" s="2" t="s">
        <v>49</v>
      </c>
      <c r="B34" s="15">
        <v>1.4830000000000001</v>
      </c>
      <c r="C34" s="2" t="s">
        <v>31</v>
      </c>
      <c r="D34" s="2" t="s">
        <v>101</v>
      </c>
    </row>
    <row r="35" spans="1:23" ht="15.75" thickBot="1">
      <c r="A35" s="2" t="s">
        <v>108</v>
      </c>
      <c r="B35" s="15">
        <v>10000</v>
      </c>
      <c r="C35" s="2" t="s">
        <v>105</v>
      </c>
      <c r="D35" s="2" t="s">
        <v>106</v>
      </c>
      <c r="M35" s="5" t="s">
        <v>153</v>
      </c>
    </row>
    <row r="36" spans="1:23" ht="15.75" thickBot="1">
      <c r="A36" s="2" t="s">
        <v>110</v>
      </c>
      <c r="B36" s="18">
        <f>10^6</f>
        <v>1000000</v>
      </c>
      <c r="C36" s="2" t="s">
        <v>111</v>
      </c>
      <c r="D36" s="2" t="s">
        <v>112</v>
      </c>
      <c r="M36" s="5" t="s">
        <v>152</v>
      </c>
    </row>
    <row r="38" spans="1:23">
      <c r="M38" s="2" t="s">
        <v>86</v>
      </c>
    </row>
    <row r="39" spans="1:23">
      <c r="M39" s="2" t="s">
        <v>1</v>
      </c>
      <c r="N39" s="6">
        <f>(16*B2/PI()*SQRT(4*(R32*S10/N27)^2+3*(R33*S14/N27)^2+4*(R32*S11/B5)^2+3*(R33*S15/B5)^2))^(1/3)</f>
        <v>83.520172718417641</v>
      </c>
      <c r="O39" s="2" t="s">
        <v>4</v>
      </c>
      <c r="P39" s="13" t="str">
        <f>IF(ABS(N4-N39)/N4&lt;0.01,"error entre di y d &lt; 1% … OK","error entre di y d &gt; 1% … siga iterando")</f>
        <v>error entre di y d &lt; 1% … OK</v>
      </c>
      <c r="S39" s="2" t="s">
        <v>81</v>
      </c>
    </row>
    <row r="41" spans="1:23">
      <c r="M41" s="8" t="s">
        <v>157</v>
      </c>
      <c r="N41" s="24"/>
      <c r="O41" s="8"/>
      <c r="P41" s="8"/>
      <c r="Q41" s="8"/>
      <c r="R41" s="8"/>
      <c r="S41" s="8"/>
      <c r="T41" s="8"/>
      <c r="U41" s="8"/>
      <c r="V41" s="8"/>
      <c r="W41" s="8"/>
    </row>
    <row r="42" spans="1:23">
      <c r="M42" s="8" t="s">
        <v>154</v>
      </c>
      <c r="N42" s="24"/>
      <c r="O42" s="8"/>
      <c r="P42" s="8"/>
      <c r="Q42" s="8"/>
      <c r="R42" s="8"/>
      <c r="S42" s="8"/>
      <c r="T42" s="8"/>
      <c r="U42" s="8"/>
      <c r="V42" s="8"/>
      <c r="W42" s="8"/>
    </row>
    <row r="45" spans="1:23">
      <c r="O45" s="6"/>
    </row>
    <row r="46" spans="1:23">
      <c r="O46" s="6"/>
    </row>
    <row r="49" spans="13:20">
      <c r="N49" s="6"/>
      <c r="R49" s="6"/>
      <c r="S49" s="8"/>
    </row>
    <row r="50" spans="13:20">
      <c r="N50" s="6"/>
      <c r="R50" s="6"/>
      <c r="S50" s="8"/>
    </row>
    <row r="52" spans="13:20">
      <c r="M52" s="5"/>
    </row>
    <row r="53" spans="13:20">
      <c r="N53" s="6"/>
      <c r="S53" s="6"/>
      <c r="T53" s="8"/>
    </row>
  </sheetData>
  <pageMargins left="0.25" right="0.25" top="0.75" bottom="0.75" header="0.3" footer="0.3"/>
  <pageSetup scale="63" fitToWidth="0" orientation="landscape" horizontalDpi="1200" verticalDpi="1200" r:id="rId1"/>
  <colBreaks count="1" manualBreakCount="1">
    <brk id="10" max="6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Soln. (a)-(d)</vt:lpstr>
      <vt:lpstr>Continuación Soln. (a)</vt:lpstr>
      <vt:lpstr>'Continuación Soln. (a)'!Print_Area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Cristobal Rojas</cp:lastModifiedBy>
  <cp:lastPrinted>2022-11-29T21:36:59Z</cp:lastPrinted>
  <dcterms:created xsi:type="dcterms:W3CDTF">2018-07-12T20:00:24Z</dcterms:created>
  <dcterms:modified xsi:type="dcterms:W3CDTF">2022-11-29T21:37:11Z</dcterms:modified>
</cp:coreProperties>
</file>