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220" yWindow="120" windowWidth="22820" windowHeight="14680" tabRatio="716" activeTab="1"/>
  </bookViews>
  <sheets>
    <sheet name="PA(blank)" sheetId="10" r:id="rId1"/>
    <sheet name="costben" sheetId="11" r:id="rId2"/>
    <sheet name="ROIC tree Madureira" sheetId="5" r:id="rId3"/>
    <sheet name="Process analysis" sheetId="6" r:id="rId4"/>
    <sheet name="Sheet3" sheetId="3" state="hidden" r:id="rId5"/>
    <sheet name="blank" sheetId="12" r:id="rId6"/>
  </sheets>
  <definedNames>
    <definedName name="_xlnm.Print_Area" localSheetId="1">costben!$A$1:$G$23</definedName>
    <definedName name="_xlnm.Print_Area" localSheetId="3">'Process analysis'!$B$5:$G$26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11" l="1"/>
  <c r="G6" i="10"/>
  <c r="G25" i="10"/>
  <c r="F25" i="10"/>
  <c r="E25" i="10"/>
  <c r="D25" i="10"/>
  <c r="C25" i="10"/>
  <c r="C24" i="10"/>
  <c r="C20" i="10"/>
  <c r="C16" i="10"/>
  <c r="C14" i="12"/>
  <c r="D14" i="12"/>
  <c r="E14" i="12"/>
  <c r="F14" i="12"/>
  <c r="B14" i="12"/>
  <c r="C12" i="10"/>
  <c r="C8" i="6"/>
  <c r="D8" i="6"/>
  <c r="E8" i="6"/>
  <c r="F8" i="6"/>
  <c r="G8" i="6"/>
  <c r="C10" i="6"/>
  <c r="C21" i="6"/>
  <c r="G22" i="6"/>
  <c r="F22" i="6"/>
  <c r="E22" i="6"/>
  <c r="D22" i="6"/>
  <c r="C22" i="6"/>
  <c r="C17" i="6"/>
  <c r="G18" i="6"/>
  <c r="F18" i="6"/>
  <c r="E18" i="6"/>
  <c r="D18" i="6"/>
  <c r="C18" i="6"/>
  <c r="C13" i="6"/>
  <c r="D14" i="6"/>
  <c r="E14" i="6"/>
  <c r="F14" i="6"/>
  <c r="G14" i="6"/>
  <c r="C14" i="6"/>
  <c r="E6" i="11"/>
  <c r="E8" i="11"/>
  <c r="B6" i="11"/>
  <c r="B8" i="11"/>
  <c r="B5" i="11"/>
  <c r="B4" i="11"/>
  <c r="B13" i="12"/>
  <c r="B12" i="12"/>
  <c r="B10" i="12"/>
  <c r="C8" i="12"/>
  <c r="D8" i="12"/>
  <c r="E8" i="12"/>
  <c r="F8" i="12"/>
  <c r="B8" i="12"/>
  <c r="H7" i="12"/>
  <c r="G7" i="12"/>
  <c r="C25" i="6"/>
  <c r="P136" i="5"/>
  <c r="I7" i="10"/>
  <c r="J41" i="5"/>
  <c r="P109" i="5"/>
  <c r="P57" i="5"/>
  <c r="M51" i="5"/>
  <c r="I7" i="6"/>
  <c r="P20" i="5"/>
  <c r="C20" i="6"/>
  <c r="C12" i="6"/>
  <c r="V58" i="5"/>
  <c r="S48" i="5"/>
  <c r="P51" i="5"/>
  <c r="M54" i="5"/>
  <c r="C16" i="6"/>
  <c r="M57" i="5"/>
  <c r="M45" i="5"/>
  <c r="C9" i="6"/>
  <c r="M48" i="5"/>
  <c r="J51" i="5"/>
  <c r="V64" i="5"/>
  <c r="S61" i="5"/>
  <c r="P64" i="5"/>
  <c r="S71" i="5"/>
  <c r="P74" i="5"/>
  <c r="S81" i="5"/>
  <c r="P84" i="5"/>
  <c r="C24" i="6"/>
  <c r="M74" i="5"/>
  <c r="G25" i="6"/>
  <c r="D25" i="6"/>
  <c r="E25" i="6"/>
  <c r="F25" i="6"/>
  <c r="P12" i="5"/>
  <c r="M16" i="5"/>
  <c r="C26" i="6"/>
  <c r="M28" i="5"/>
  <c r="J32" i="5"/>
  <c r="P102" i="5"/>
  <c r="S92" i="5"/>
  <c r="P95" i="5"/>
  <c r="J10" i="5"/>
  <c r="G21" i="5"/>
  <c r="G123" i="5"/>
  <c r="M102" i="5"/>
  <c r="J81" i="5"/>
  <c r="G66" i="5"/>
  <c r="D44" i="5"/>
  <c r="D5" i="5"/>
  <c r="M129" i="5"/>
  <c r="P132" i="5"/>
  <c r="M134" i="5"/>
  <c r="J131" i="5"/>
  <c r="G128" i="5"/>
  <c r="D126" i="5"/>
  <c r="A77" i="5"/>
  <c r="D4" i="5"/>
  <c r="D6" i="5"/>
  <c r="C26" i="10"/>
</calcChain>
</file>

<file path=xl/comments1.xml><?xml version="1.0" encoding="utf-8"?>
<comments xmlns="http://schemas.openxmlformats.org/spreadsheetml/2006/main">
  <authors>
    <author>Marcelo Olivares</author>
  </authors>
  <commentList>
    <comment ref="G6" authorId="0">
      <text>
        <r>
          <rPr>
            <b/>
            <sz val="9"/>
            <color indexed="81"/>
            <rFont val="Tahoma"/>
            <family val="2"/>
          </rPr>
          <t>Marcelo Olivares:</t>
        </r>
        <r>
          <rPr>
            <sz val="9"/>
            <color indexed="81"/>
            <rFont val="Tahoma"/>
            <family val="2"/>
          </rPr>
          <t xml:space="preserve">
Changed from 17.25 to 14. Dying ony takes 15 minutes of labor
</t>
        </r>
      </text>
    </comment>
  </commentList>
</comments>
</file>

<file path=xl/comments2.xml><?xml version="1.0" encoding="utf-8"?>
<comments xmlns="http://schemas.openxmlformats.org/spreadsheetml/2006/main">
  <authors>
    <author>Marcelo Olivares</author>
    <author>mo2338</author>
  </authors>
  <commentList>
    <comment ref="J41" authorId="0">
      <text>
        <r>
          <rPr>
            <sz val="9"/>
            <color indexed="81"/>
            <rFont val="Tahoma"/>
            <family val="2"/>
          </rPr>
          <t>From case, 7% of total revenues. Exhibit 9 shows revenues for 2010, R$98.9 million. Assigned 1/11th of that to the store.</t>
        </r>
      </text>
    </comment>
    <comment ref="P102" authorId="1">
      <text>
        <r>
          <rPr>
            <sz val="9"/>
            <color indexed="81"/>
            <rFont val="Tahoma"/>
            <family val="2"/>
          </rPr>
          <t xml:space="preserve">This is 50% of sales of products because margin=50%
</t>
        </r>
      </text>
    </comment>
    <comment ref="P109" authorId="1">
      <text>
        <r>
          <rPr>
            <sz val="9"/>
            <color indexed="81"/>
            <rFont val="Tahoma"/>
            <family val="2"/>
          </rPr>
          <t>Assumed 50% margin for other services</t>
        </r>
      </text>
    </comment>
  </commentList>
</comments>
</file>

<file path=xl/sharedStrings.xml><?xml version="1.0" encoding="utf-8"?>
<sst xmlns="http://schemas.openxmlformats.org/spreadsheetml/2006/main" count="236" uniqueCount="141">
  <si>
    <t>Institute</t>
  </si>
  <si>
    <t>Reception</t>
  </si>
  <si>
    <t>Division</t>
  </si>
  <si>
    <t>Super Relaxing</t>
  </si>
  <si>
    <t>Hydration</t>
  </si>
  <si>
    <t>Hairstyle</t>
  </si>
  <si>
    <t>Alcantara</t>
  </si>
  <si>
    <t>Campo Grande</t>
  </si>
  <si>
    <t>Caxias</t>
  </si>
  <si>
    <t>Ipanema</t>
  </si>
  <si>
    <t>Japarepagua</t>
  </si>
  <si>
    <t>Liberdade - Salvador</t>
  </si>
  <si>
    <t>Madureira</t>
  </si>
  <si>
    <t>Niterói</t>
  </si>
  <si>
    <t>Nova Iguacu</t>
  </si>
  <si>
    <t>Tijuca</t>
  </si>
  <si>
    <t>Vitoria</t>
  </si>
  <si>
    <t>Mon-Thu</t>
  </si>
  <si>
    <t>Fri</t>
  </si>
  <si>
    <t>Sat</t>
  </si>
  <si>
    <t>Unit price</t>
  </si>
  <si>
    <t>R$</t>
  </si>
  <si>
    <t>Super-relax. Treat.</t>
  </si>
  <si>
    <t>per year  R$</t>
  </si>
  <si>
    <t>Time per worker</t>
  </si>
  <si>
    <t>per year</t>
  </si>
  <si>
    <t>Flow rate (SRT)</t>
  </si>
  <si>
    <t>Clients per year</t>
  </si>
  <si>
    <t>Sales</t>
  </si>
  <si>
    <t>Per Year  R$</t>
  </si>
  <si>
    <t>Sales on products</t>
  </si>
  <si>
    <t>% clients buy</t>
  </si>
  <si>
    <t xml:space="preserve">Average product </t>
  </si>
  <si>
    <t>ticket R$</t>
  </si>
  <si>
    <t>Other services</t>
  </si>
  <si>
    <t>Return on sales</t>
  </si>
  <si>
    <t>(margin)</t>
  </si>
  <si>
    <t>Rent</t>
  </si>
  <si>
    <t>Marketing</t>
  </si>
  <si>
    <t>Indirect costs</t>
  </si>
  <si>
    <t>General Mgmt</t>
  </si>
  <si>
    <t>Other labor costs</t>
  </si>
  <si>
    <t>Depreciation</t>
  </si>
  <si>
    <t>Hrs available</t>
  </si>
  <si>
    <t>Super relaxante</t>
  </si>
  <si>
    <t>Total Costs</t>
  </si>
  <si>
    <t>Wage rate</t>
  </si>
  <si>
    <t>per hr R$</t>
  </si>
  <si>
    <t>Labor costs</t>
  </si>
  <si>
    <t>ROIC</t>
  </si>
  <si>
    <t xml:space="preserve"> R$</t>
  </si>
  <si>
    <t>Direct costs</t>
  </si>
  <si>
    <t>clients per year</t>
  </si>
  <si>
    <t>Material costs</t>
  </si>
  <si>
    <t>per client   R$</t>
  </si>
  <si>
    <t>Other services  R$</t>
  </si>
  <si>
    <t>Per Year</t>
  </si>
  <si>
    <t>Assets Turns</t>
  </si>
  <si>
    <t>Fixed Capital</t>
  </si>
  <si>
    <t>(Capital turnover)</t>
  </si>
  <si>
    <t>Total Capital</t>
  </si>
  <si>
    <t>Inventory</t>
  </si>
  <si>
    <t>Working Capital</t>
  </si>
  <si>
    <t>Pre-paid expenses</t>
  </si>
  <si>
    <t>Payment terms</t>
  </si>
  <si>
    <t>1 month</t>
  </si>
  <si>
    <t>Electricity, gas and water</t>
  </si>
  <si>
    <t>General management</t>
  </si>
  <si>
    <t>Cost (R$000')</t>
  </si>
  <si>
    <t>No work stations</t>
  </si>
  <si>
    <t>being used</t>
  </si>
  <si>
    <t>Rent and expenses</t>
  </si>
  <si>
    <t>Sales of products</t>
  </si>
  <si>
    <t>Products sold</t>
  </si>
  <si>
    <t>Services Price</t>
  </si>
  <si>
    <t>Super-Relaxante</t>
  </si>
  <si>
    <t>Cut</t>
  </si>
  <si>
    <t>Coloring</t>
  </si>
  <si>
    <t>Madureira Institute</t>
  </si>
  <si>
    <t>capacity [cust/hr]</t>
  </si>
  <si>
    <t>Activity time [min]</t>
  </si>
  <si>
    <t># workers</t>
  </si>
  <si>
    <t>cycle time [min]</t>
  </si>
  <si>
    <t>process capacity [cust/hr]</t>
  </si>
  <si>
    <t>utilization</t>
  </si>
  <si>
    <t>demand rate [Saturday]</t>
  </si>
  <si>
    <t>flow rate</t>
  </si>
  <si>
    <t>demand rate [Friday]</t>
  </si>
  <si>
    <t>demand rate [mon-thu]</t>
  </si>
  <si>
    <t>Size (m2)</t>
  </si>
  <si>
    <t># Laboratories</t>
  </si>
  <si>
    <t>Evaluation</t>
  </si>
  <si>
    <t>Waiting room I</t>
  </si>
  <si>
    <t>Waiting room II</t>
  </si>
  <si>
    <t>Bathrooms</t>
  </si>
  <si>
    <t>Bar</t>
  </si>
  <si>
    <t>Super-relaxante</t>
  </si>
  <si>
    <t>Hair style</t>
  </si>
  <si>
    <t>Store</t>
  </si>
  <si>
    <t>Deposit and material preparation</t>
  </si>
  <si>
    <t>Flow rate per week</t>
  </si>
  <si>
    <t xml:space="preserve">Flow rate </t>
  </si>
  <si>
    <t>per week</t>
  </si>
  <si>
    <t xml:space="preserve">No weeks </t>
  </si>
  <si>
    <t>This is for Madureira</t>
  </si>
  <si>
    <t>Average utilization per week</t>
  </si>
  <si>
    <t>Avg Labor util</t>
  </si>
  <si>
    <t>&lt;-- weighted average of utilizations</t>
  </si>
  <si>
    <t>&lt;-3 people at salescounter</t>
  </si>
  <si>
    <t>Total workers</t>
  </si>
  <si>
    <t>Contribution margin</t>
  </si>
  <si>
    <t>&lt;- 4 people for other services</t>
  </si>
  <si>
    <t>benefits</t>
  </si>
  <si>
    <t>worker</t>
  </si>
  <si>
    <t>Annual benefits per</t>
  </si>
  <si>
    <t>Other employees</t>
  </si>
  <si>
    <t>Other fixed costs</t>
  </si>
  <si>
    <t>Summary</t>
  </si>
  <si>
    <t>Asset turns</t>
  </si>
  <si>
    <t>Per day. This is for Madureira</t>
  </si>
  <si>
    <t>Cost-Benefit Analysis</t>
  </si>
  <si>
    <t>Annual cost per worker</t>
  </si>
  <si>
    <t>salary</t>
  </si>
  <si>
    <t>material cost</t>
  </si>
  <si>
    <t>bonus</t>
  </si>
  <si>
    <t>price</t>
  </si>
  <si>
    <t>cross-sell</t>
  </si>
  <si>
    <t>demand rate [cust/hour]</t>
  </si>
  <si>
    <t>Note 1: This is just meant to illustrate how one could build an ROIC tree, making various assumptions along the way (e.g., re fixed costs)</t>
  </si>
  <si>
    <t>Note 1: This does not account for additional training required when switching workers between steps</t>
  </si>
  <si>
    <t>(if capacity constrained)</t>
  </si>
  <si>
    <t>TOTAL</t>
  </si>
  <si>
    <t>FR WEEK</t>
  </si>
  <si>
    <t>Meals+trans</t>
  </si>
  <si>
    <t>Total</t>
  </si>
  <si>
    <t>Contribution</t>
  </si>
  <si>
    <t>required increased volume per year</t>
  </si>
  <si>
    <t>($/customer)</t>
  </si>
  <si>
    <t>($/worker-year)</t>
  </si>
  <si>
    <t>(Saturday)</t>
  </si>
  <si>
    <t>(Friday)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</si>
</sst>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_);_(* \(#,##0.0\);_(* &quot;-&quot;?_);_(@_)"/>
    <numFmt numFmtId="169" formatCode="&quot;$&quot;#,##0"/>
    <numFmt numFmtId="170" formatCode="0.0%"/>
    <numFmt numFmtId="171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Book Antiqua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7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86">
    <xf numFmtId="0" fontId="0" fillId="0" borderId="0" xfId="0"/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165" fontId="0" fillId="0" borderId="10" xfId="0" applyNumberFormat="1" applyBorder="1"/>
    <xf numFmtId="166" fontId="0" fillId="0" borderId="10" xfId="1" applyNumberFormat="1" applyFont="1" applyBorder="1"/>
    <xf numFmtId="165" fontId="0" fillId="0" borderId="0" xfId="0" applyNumberFormat="1"/>
    <xf numFmtId="169" fontId="0" fillId="0" borderId="0" xfId="0" applyNumberFormat="1" applyBorder="1"/>
    <xf numFmtId="166" fontId="0" fillId="0" borderId="10" xfId="0" applyNumberFormat="1" applyBorder="1"/>
    <xf numFmtId="165" fontId="0" fillId="0" borderId="0" xfId="1" applyFont="1"/>
    <xf numFmtId="166" fontId="0" fillId="3" borderId="10" xfId="1" applyNumberFormat="1" applyFont="1" applyFill="1" applyBorder="1"/>
    <xf numFmtId="170" fontId="0" fillId="0" borderId="10" xfId="2" applyNumberFormat="1" applyFont="1" applyBorder="1"/>
    <xf numFmtId="166" fontId="0" fillId="0" borderId="0" xfId="1" applyNumberFormat="1" applyFont="1" applyBorder="1"/>
    <xf numFmtId="166" fontId="0" fillId="0" borderId="0" xfId="0" applyNumberFormat="1" applyBorder="1"/>
    <xf numFmtId="0" fontId="0" fillId="0" borderId="0" xfId="0" applyFill="1" applyBorder="1"/>
    <xf numFmtId="9" fontId="0" fillId="0" borderId="0" xfId="0" applyNumberFormat="1" applyFill="1" applyBorder="1"/>
    <xf numFmtId="169" fontId="0" fillId="0" borderId="8" xfId="0" applyNumberFormat="1" applyBorder="1"/>
    <xf numFmtId="167" fontId="0" fillId="0" borderId="10" xfId="0" applyNumberFormat="1" applyBorder="1"/>
    <xf numFmtId="169" fontId="0" fillId="0" borderId="10" xfId="0" applyNumberFormat="1" applyBorder="1"/>
    <xf numFmtId="9" fontId="0" fillId="0" borderId="0" xfId="2" applyFont="1" applyBorder="1"/>
    <xf numFmtId="168" fontId="0" fillId="0" borderId="0" xfId="0" applyNumberFormat="1" applyBorder="1"/>
    <xf numFmtId="0" fontId="0" fillId="0" borderId="10" xfId="0" applyFill="1" applyBorder="1"/>
    <xf numFmtId="166" fontId="0" fillId="0" borderId="0" xfId="1" applyNumberFormat="1" applyFont="1"/>
    <xf numFmtId="0" fontId="0" fillId="0" borderId="1" xfId="0" applyBorder="1"/>
    <xf numFmtId="166" fontId="0" fillId="0" borderId="1" xfId="1" applyNumberFormat="1" applyFont="1" applyBorder="1"/>
    <xf numFmtId="9" fontId="0" fillId="0" borderId="0" xfId="2" applyFont="1"/>
    <xf numFmtId="9" fontId="0" fillId="0" borderId="10" xfId="0" applyNumberFormat="1" applyFill="1" applyBorder="1"/>
    <xf numFmtId="165" fontId="0" fillId="0" borderId="0" xfId="0" applyNumberFormat="1" applyBorder="1"/>
    <xf numFmtId="166" fontId="0" fillId="0" borderId="10" xfId="1" applyNumberFormat="1" applyFont="1" applyFill="1" applyBorder="1"/>
    <xf numFmtId="166" fontId="0" fillId="0" borderId="10" xfId="0" applyNumberFormat="1" applyFill="1" applyBorder="1"/>
    <xf numFmtId="0" fontId="0" fillId="0" borderId="7" xfId="0" applyFill="1" applyBorder="1"/>
    <xf numFmtId="0" fontId="0" fillId="4" borderId="1" xfId="0" applyFill="1" applyBorder="1"/>
    <xf numFmtId="166" fontId="2" fillId="4" borderId="1" xfId="1" applyNumberFormat="1" applyFont="1" applyFill="1" applyBorder="1" applyAlignment="1">
      <alignment horizontal="center" wrapText="1"/>
    </xf>
    <xf numFmtId="166" fontId="0" fillId="0" borderId="0" xfId="0" applyNumberFormat="1"/>
    <xf numFmtId="0" fontId="0" fillId="0" borderId="14" xfId="0" applyBorder="1"/>
    <xf numFmtId="0" fontId="0" fillId="0" borderId="15" xfId="0" applyBorder="1"/>
    <xf numFmtId="0" fontId="0" fillId="0" borderId="11" xfId="0" applyBorder="1" applyAlignment="1"/>
    <xf numFmtId="0" fontId="0" fillId="0" borderId="0" xfId="0" applyBorder="1" applyAlignment="1"/>
    <xf numFmtId="0" fontId="2" fillId="4" borderId="1" xfId="0" applyFont="1" applyFill="1" applyBorder="1"/>
    <xf numFmtId="166" fontId="2" fillId="4" borderId="1" xfId="1" applyNumberFormat="1" applyFont="1" applyFill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8" fillId="0" borderId="10" xfId="0" applyFont="1" applyFill="1" applyBorder="1"/>
    <xf numFmtId="166" fontId="2" fillId="0" borderId="0" xfId="0" applyNumberFormat="1" applyFont="1"/>
    <xf numFmtId="0" fontId="2" fillId="0" borderId="0" xfId="0" applyFont="1"/>
    <xf numFmtId="0" fontId="2" fillId="4" borderId="1" xfId="0" applyFont="1" applyFill="1" applyBorder="1" applyAlignment="1">
      <alignment horizontal="center"/>
    </xf>
    <xf numFmtId="0" fontId="0" fillId="0" borderId="3" xfId="0" applyFill="1" applyBorder="1"/>
    <xf numFmtId="0" fontId="0" fillId="0" borderId="1" xfId="0" applyFill="1" applyBorder="1"/>
    <xf numFmtId="0" fontId="0" fillId="0" borderId="4" xfId="0" applyFill="1" applyBorder="1"/>
    <xf numFmtId="0" fontId="0" fillId="0" borderId="2" xfId="0" applyFill="1" applyBorder="1"/>
    <xf numFmtId="0" fontId="0" fillId="2" borderId="0" xfId="0" applyFill="1"/>
    <xf numFmtId="0" fontId="9" fillId="2" borderId="0" xfId="0" applyFont="1" applyFill="1"/>
    <xf numFmtId="1" fontId="0" fillId="0" borderId="0" xfId="0" applyNumberFormat="1" applyAlignment="1">
      <alignment horizontal="center"/>
    </xf>
    <xf numFmtId="166" fontId="3" fillId="0" borderId="1" xfId="0" applyNumberFormat="1" applyFont="1" applyFill="1" applyBorder="1" applyAlignment="1">
      <alignment horizontal="center" vertical="center"/>
    </xf>
    <xf numFmtId="9" fontId="0" fillId="0" borderId="0" xfId="2" applyFont="1" applyAlignment="1">
      <alignment horizontal="center"/>
    </xf>
    <xf numFmtId="1" fontId="0" fillId="0" borderId="10" xfId="0" applyNumberFormat="1" applyBorder="1"/>
    <xf numFmtId="167" fontId="0" fillId="0" borderId="0" xfId="0" applyNumberFormat="1"/>
    <xf numFmtId="0" fontId="0" fillId="0" borderId="0" xfId="0" applyAlignment="1">
      <alignment horizontal="left"/>
    </xf>
    <xf numFmtId="170" fontId="0" fillId="0" borderId="0" xfId="2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3" borderId="10" xfId="0" applyFill="1" applyBorder="1"/>
    <xf numFmtId="166" fontId="8" fillId="3" borderId="10" xfId="1" applyNumberFormat="1" applyFont="1" applyFill="1" applyBorder="1"/>
    <xf numFmtId="166" fontId="10" fillId="0" borderId="10" xfId="0" applyNumberFormat="1" applyFont="1" applyFill="1" applyBorder="1"/>
    <xf numFmtId="0" fontId="0" fillId="0" borderId="0" xfId="3" applyNumberFormat="1" applyFont="1"/>
    <xf numFmtId="0" fontId="0" fillId="0" borderId="0" xfId="3" applyNumberFormat="1" applyFont="1" applyAlignment="1">
      <alignment horizontal="right"/>
    </xf>
    <xf numFmtId="0" fontId="2" fillId="0" borderId="0" xfId="3" applyNumberFormat="1" applyFont="1" applyAlignment="1">
      <alignment horizontal="right"/>
    </xf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0" fontId="0" fillId="5" borderId="7" xfId="0" applyFill="1" applyBorder="1"/>
    <xf numFmtId="166" fontId="0" fillId="5" borderId="10" xfId="1" applyNumberFormat="1" applyFont="1" applyFill="1" applyBorder="1"/>
    <xf numFmtId="0" fontId="0" fillId="5" borderId="8" xfId="0" applyFill="1" applyBorder="1"/>
    <xf numFmtId="2" fontId="0" fillId="5" borderId="10" xfId="0" applyNumberFormat="1" applyFill="1" applyBorder="1"/>
    <xf numFmtId="170" fontId="0" fillId="0" borderId="0" xfId="0" applyNumberFormat="1" applyBorder="1"/>
    <xf numFmtId="167" fontId="0" fillId="0" borderId="0" xfId="0" applyNumberFormat="1" applyBorder="1"/>
    <xf numFmtId="171" fontId="0" fillId="0" borderId="0" xfId="0" applyNumberFormat="1"/>
    <xf numFmtId="0" fontId="2" fillId="2" borderId="0" xfId="0" applyFont="1" applyFill="1"/>
    <xf numFmtId="0" fontId="0" fillId="3" borderId="0" xfId="0" applyFill="1" applyAlignment="1">
      <alignment horizontal="center"/>
    </xf>
  </cellXfs>
  <cellStyles count="76">
    <cellStyle name="Comma" xfId="1" builtinId="3"/>
    <cellStyle name="Currency" xfId="3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26"/>
  <sheetViews>
    <sheetView topLeftCell="B5" zoomScale="200" zoomScaleNormal="200" zoomScalePageLayoutView="200" workbookViewId="0">
      <pane ySplit="5000" topLeftCell="A12"/>
      <selection activeCell="C7" sqref="C7:G7"/>
      <selection pane="bottomLeft" activeCell="C13" sqref="C13:G14"/>
    </sheetView>
  </sheetViews>
  <sheetFormatPr baseColWidth="10" defaultColWidth="8.83203125" defaultRowHeight="14" x14ac:dyDescent="0"/>
  <cols>
    <col min="2" max="2" width="18.6640625" customWidth="1"/>
    <col min="3" max="7" width="8.83203125" style="48"/>
    <col min="8" max="8" width="2.83203125" customWidth="1"/>
    <col min="9" max="9" width="10.1640625" customWidth="1"/>
    <col min="10" max="11" width="11.6640625" customWidth="1"/>
    <col min="12" max="12" width="16.33203125" customWidth="1"/>
    <col min="13" max="13" width="11.5" bestFit="1" customWidth="1"/>
  </cols>
  <sheetData>
    <row r="1" spans="2:13">
      <c r="C1" s="48" t="s">
        <v>17</v>
      </c>
      <c r="D1" s="48" t="s">
        <v>18</v>
      </c>
      <c r="E1" s="48" t="s">
        <v>19</v>
      </c>
    </row>
    <row r="2" spans="2:13">
      <c r="C2" s="62">
        <v>293</v>
      </c>
      <c r="D2" s="62">
        <v>396</v>
      </c>
      <c r="E2" s="62">
        <v>513</v>
      </c>
      <c r="F2" s="66" t="s">
        <v>119</v>
      </c>
    </row>
    <row r="4" spans="2:13" ht="15" thickBot="1"/>
    <row r="5" spans="2:13" ht="28">
      <c r="C5" s="1" t="s">
        <v>1</v>
      </c>
      <c r="D5" s="1" t="s">
        <v>2</v>
      </c>
      <c r="E5" s="1" t="s">
        <v>3</v>
      </c>
      <c r="F5" s="1" t="s">
        <v>4</v>
      </c>
      <c r="G5" s="2" t="s">
        <v>5</v>
      </c>
    </row>
    <row r="6" spans="2:13">
      <c r="B6" t="s">
        <v>80</v>
      </c>
      <c r="C6" s="48">
        <v>2</v>
      </c>
      <c r="D6" s="48">
        <v>12.5</v>
      </c>
      <c r="E6" s="48">
        <v>40</v>
      </c>
      <c r="F6" s="48">
        <v>8</v>
      </c>
      <c r="G6" s="48">
        <f>25%*10+10%*15+10</f>
        <v>14</v>
      </c>
      <c r="H6" s="65"/>
      <c r="I6" t="s">
        <v>109</v>
      </c>
    </row>
    <row r="7" spans="2:13">
      <c r="B7" t="s">
        <v>81</v>
      </c>
      <c r="C7" s="48">
        <v>2</v>
      </c>
      <c r="D7" s="48">
        <v>8</v>
      </c>
      <c r="E7" s="48">
        <v>18</v>
      </c>
      <c r="F7" s="48">
        <v>4</v>
      </c>
      <c r="G7" s="48">
        <v>9</v>
      </c>
      <c r="I7">
        <f>SUM(C7:G7)</f>
        <v>41</v>
      </c>
    </row>
    <row r="8" spans="2:13">
      <c r="B8" t="s">
        <v>79</v>
      </c>
      <c r="C8" s="76"/>
      <c r="D8" s="76"/>
      <c r="E8" s="76"/>
      <c r="F8" s="76"/>
      <c r="G8" s="76"/>
    </row>
    <row r="9" spans="2:13">
      <c r="B9" t="s">
        <v>82</v>
      </c>
      <c r="C9" s="76"/>
      <c r="D9" s="76"/>
      <c r="E9" s="76"/>
      <c r="F9" s="76"/>
      <c r="G9" s="76"/>
      <c r="J9" s="48"/>
      <c r="M9" s="48"/>
    </row>
    <row r="10" spans="2:13">
      <c r="B10" t="s">
        <v>83</v>
      </c>
      <c r="C10" s="76"/>
      <c r="D10" s="76"/>
      <c r="E10" s="76"/>
      <c r="F10" s="76"/>
      <c r="G10" s="76"/>
      <c r="J10" s="73"/>
      <c r="M10" s="75"/>
    </row>
    <row r="11" spans="2:13">
      <c r="C11" s="76"/>
      <c r="D11" s="76"/>
      <c r="E11" s="76"/>
      <c r="F11" s="76"/>
      <c r="G11" s="76"/>
      <c r="J11" s="73"/>
      <c r="M11" s="75"/>
    </row>
    <row r="12" spans="2:13">
      <c r="B12" t="s">
        <v>127</v>
      </c>
      <c r="C12" s="76">
        <f>513/12</f>
        <v>42.75</v>
      </c>
      <c r="D12" s="76" t="s">
        <v>139</v>
      </c>
      <c r="E12" s="76"/>
      <c r="F12" s="76"/>
      <c r="G12" s="76"/>
      <c r="I12" s="53"/>
      <c r="J12" s="74"/>
      <c r="L12" s="53"/>
      <c r="M12" s="74"/>
    </row>
    <row r="13" spans="2:13">
      <c r="B13" t="s">
        <v>86</v>
      </c>
      <c r="C13" s="76"/>
      <c r="D13" s="76"/>
      <c r="E13" s="76"/>
      <c r="F13" s="76"/>
      <c r="G13" s="76"/>
      <c r="J13" s="72"/>
    </row>
    <row r="14" spans="2:13">
      <c r="B14" t="s">
        <v>84</v>
      </c>
      <c r="C14" s="67"/>
      <c r="D14" s="67"/>
      <c r="E14" s="67"/>
      <c r="F14" s="67"/>
      <c r="G14" s="67"/>
      <c r="M14" s="29"/>
    </row>
    <row r="15" spans="2:13">
      <c r="C15" s="76"/>
      <c r="D15" s="76"/>
      <c r="E15" s="76"/>
      <c r="F15" s="76"/>
      <c r="G15" s="76"/>
      <c r="M15" s="29"/>
    </row>
    <row r="16" spans="2:13">
      <c r="B16" t="s">
        <v>87</v>
      </c>
      <c r="C16" s="76">
        <f>D2/12</f>
        <v>33</v>
      </c>
      <c r="D16" s="76" t="s">
        <v>140</v>
      </c>
      <c r="E16" s="76"/>
      <c r="F16" s="76"/>
      <c r="G16" s="76"/>
    </row>
    <row r="17" spans="2:12">
      <c r="B17" t="s">
        <v>86</v>
      </c>
      <c r="C17" s="76"/>
      <c r="D17" s="76"/>
      <c r="E17" s="76"/>
      <c r="F17" s="76"/>
      <c r="G17" s="76"/>
    </row>
    <row r="18" spans="2:12">
      <c r="B18" t="s">
        <v>84</v>
      </c>
      <c r="C18" s="67"/>
      <c r="D18" s="67"/>
      <c r="E18" s="67"/>
      <c r="F18" s="67"/>
      <c r="G18" s="67"/>
    </row>
    <row r="19" spans="2:12">
      <c r="C19" s="76"/>
      <c r="D19" s="76"/>
      <c r="E19" s="76"/>
      <c r="F19" s="76"/>
      <c r="G19" s="76"/>
    </row>
    <row r="20" spans="2:12">
      <c r="B20" t="s">
        <v>88</v>
      </c>
      <c r="C20" s="76">
        <f>C2/12</f>
        <v>24.416666666666668</v>
      </c>
      <c r="D20" s="76"/>
      <c r="E20" s="76"/>
      <c r="F20" s="76"/>
      <c r="G20" s="76"/>
      <c r="L20" s="83"/>
    </row>
    <row r="21" spans="2:12">
      <c r="B21" t="s">
        <v>86</v>
      </c>
      <c r="C21" s="76"/>
      <c r="D21" s="76"/>
      <c r="E21" s="76"/>
      <c r="F21" s="76"/>
      <c r="G21" s="76"/>
    </row>
    <row r="22" spans="2:12">
      <c r="B22" t="s">
        <v>84</v>
      </c>
      <c r="C22" s="67"/>
      <c r="D22" s="67"/>
      <c r="E22" s="67"/>
      <c r="F22" s="67"/>
      <c r="G22" s="67"/>
    </row>
    <row r="23" spans="2:12">
      <c r="C23" s="76"/>
      <c r="D23" s="76"/>
      <c r="E23" s="76"/>
      <c r="F23" s="76"/>
      <c r="G23" s="76"/>
    </row>
    <row r="24" spans="2:12">
      <c r="B24" t="s">
        <v>100</v>
      </c>
      <c r="C24" s="85">
        <f>(C13+C17+C21*4)*12</f>
        <v>0</v>
      </c>
    </row>
    <row r="25" spans="2:12">
      <c r="B25" t="s">
        <v>105</v>
      </c>
      <c r="C25" s="63">
        <f>(C14+C18+4*C22)/6</f>
        <v>0</v>
      </c>
      <c r="D25" s="63">
        <f t="shared" ref="D25:G25" si="0">(D14+D18+4*D22)/6</f>
        <v>0</v>
      </c>
      <c r="E25" s="63">
        <f t="shared" si="0"/>
        <v>0</v>
      </c>
      <c r="F25" s="63">
        <f t="shared" si="0"/>
        <v>0</v>
      </c>
      <c r="G25" s="63">
        <f t="shared" si="0"/>
        <v>0</v>
      </c>
    </row>
    <row r="26" spans="2:12">
      <c r="B26" t="s">
        <v>106</v>
      </c>
      <c r="C26" s="67">
        <f>SUMPRODUCT(C25:G25,C7:G7)/SUM(C7:G7)</f>
        <v>0</v>
      </c>
      <c r="D26" s="68" t="s">
        <v>107</v>
      </c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200" zoomScaleNormal="200" zoomScalePageLayoutView="200" workbookViewId="0">
      <selection sqref="A1:G12"/>
    </sheetView>
  </sheetViews>
  <sheetFormatPr baseColWidth="10" defaultColWidth="8.83203125" defaultRowHeight="14" x14ac:dyDescent="0"/>
  <cols>
    <col min="3" max="3" width="15.6640625" customWidth="1"/>
    <col min="4" max="4" width="12.5" customWidth="1"/>
    <col min="5" max="5" width="8.6640625" customWidth="1"/>
    <col min="6" max="6" width="10" customWidth="1"/>
    <col min="7" max="7" width="3.6640625" customWidth="1"/>
  </cols>
  <sheetData>
    <row r="1" spans="1:9">
      <c r="A1" s="59" t="s">
        <v>120</v>
      </c>
      <c r="B1" s="59"/>
      <c r="C1" s="59"/>
      <c r="D1" s="59"/>
      <c r="E1" s="59"/>
      <c r="F1" s="59"/>
      <c r="G1" s="59"/>
      <c r="H1" s="59"/>
      <c r="I1" s="59"/>
    </row>
    <row r="2" spans="1:9">
      <c r="A2" s="59"/>
      <c r="B2" s="59"/>
      <c r="C2" s="59"/>
      <c r="D2" s="59"/>
      <c r="E2" s="59"/>
      <c r="F2" s="59"/>
      <c r="G2" s="59"/>
      <c r="H2" s="59"/>
      <c r="I2" s="59"/>
    </row>
    <row r="3" spans="1:9">
      <c r="A3" s="84" t="s">
        <v>121</v>
      </c>
      <c r="B3" s="59"/>
      <c r="C3" s="59"/>
      <c r="D3" s="84" t="s">
        <v>110</v>
      </c>
      <c r="E3" s="59"/>
      <c r="F3" s="59"/>
      <c r="G3" s="59"/>
      <c r="H3" s="59"/>
      <c r="I3" s="59"/>
    </row>
    <row r="4" spans="1:9">
      <c r="A4" s="59" t="s">
        <v>122</v>
      </c>
      <c r="B4" s="59">
        <f>12*312*12</f>
        <v>44928</v>
      </c>
      <c r="C4" s="59"/>
      <c r="D4" s="59" t="s">
        <v>125</v>
      </c>
      <c r="E4" s="59">
        <v>65</v>
      </c>
      <c r="F4" s="59"/>
      <c r="G4" s="59"/>
      <c r="H4" s="59"/>
      <c r="I4" s="59"/>
    </row>
    <row r="5" spans="1:9">
      <c r="A5" s="59" t="s">
        <v>133</v>
      </c>
      <c r="B5" s="59">
        <f>12*312*2</f>
        <v>7488</v>
      </c>
      <c r="C5" s="59"/>
      <c r="D5" s="59" t="s">
        <v>123</v>
      </c>
      <c r="E5" s="59">
        <v>4</v>
      </c>
      <c r="F5" s="59"/>
      <c r="G5" s="59"/>
      <c r="H5" s="59"/>
      <c r="I5" s="59"/>
    </row>
    <row r="6" spans="1:9">
      <c r="A6" s="59" t="s">
        <v>124</v>
      </c>
      <c r="B6" s="59">
        <f>950*2</f>
        <v>1900</v>
      </c>
      <c r="C6" s="59"/>
      <c r="D6" s="59" t="s">
        <v>126</v>
      </c>
      <c r="E6" s="59">
        <f>65%*40*50%</f>
        <v>13</v>
      </c>
      <c r="F6" s="59"/>
      <c r="G6" s="59"/>
      <c r="H6" s="59"/>
      <c r="I6" s="59"/>
    </row>
    <row r="7" spans="1:9">
      <c r="A7" s="59"/>
      <c r="B7" s="59"/>
      <c r="C7" s="59"/>
      <c r="D7" s="59"/>
      <c r="E7" s="59"/>
      <c r="F7" s="59"/>
      <c r="G7" s="59"/>
      <c r="H7" s="59"/>
      <c r="I7" s="59"/>
    </row>
    <row r="8" spans="1:9">
      <c r="A8" s="59" t="s">
        <v>134</v>
      </c>
      <c r="B8" s="59">
        <f>SUM(B4:B6)</f>
        <v>54316</v>
      </c>
      <c r="C8" s="59" t="s">
        <v>138</v>
      </c>
      <c r="D8" s="59" t="s">
        <v>135</v>
      </c>
      <c r="E8" s="59">
        <f>E4+E6-E5</f>
        <v>74</v>
      </c>
      <c r="F8" s="59" t="s">
        <v>137</v>
      </c>
      <c r="G8" s="59"/>
      <c r="H8" s="59"/>
      <c r="I8" s="59"/>
    </row>
    <row r="9" spans="1:9">
      <c r="A9" s="59"/>
      <c r="B9" s="59"/>
      <c r="C9" s="59"/>
      <c r="D9" s="59"/>
      <c r="E9" s="59"/>
      <c r="F9" s="59"/>
      <c r="G9" s="59"/>
      <c r="H9" s="59"/>
      <c r="I9" s="59"/>
    </row>
    <row r="10" spans="1:9">
      <c r="A10" s="59" t="s">
        <v>136</v>
      </c>
      <c r="B10" s="59"/>
      <c r="C10" s="59"/>
      <c r="D10" s="59">
        <f>B8/E8</f>
        <v>734</v>
      </c>
      <c r="E10" s="59"/>
      <c r="F10" s="59"/>
      <c r="G10" s="59"/>
      <c r="H10" s="59"/>
      <c r="I10" s="59"/>
    </row>
    <row r="11" spans="1:9">
      <c r="A11" s="59"/>
      <c r="B11" s="59"/>
      <c r="C11" s="59"/>
      <c r="D11" s="59"/>
      <c r="E11" s="59"/>
      <c r="F11" s="59"/>
      <c r="G11" s="59"/>
      <c r="H11" s="59"/>
      <c r="I11" s="59"/>
    </row>
    <row r="12" spans="1:9">
      <c r="A12" s="59"/>
      <c r="B12" s="59"/>
      <c r="C12" s="59"/>
      <c r="D12" s="59"/>
      <c r="E12" s="59"/>
      <c r="F12" s="59"/>
      <c r="G12" s="59"/>
      <c r="H12" s="59"/>
      <c r="I12" s="59"/>
    </row>
  </sheetData>
  <phoneticPr fontId="13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0"/>
  <sheetViews>
    <sheetView topLeftCell="A100" zoomScale="55" zoomScaleNormal="55" zoomScalePageLayoutView="55" workbookViewId="0">
      <selection activeCell="D17" sqref="D17"/>
    </sheetView>
  </sheetViews>
  <sheetFormatPr baseColWidth="10" defaultColWidth="8.83203125" defaultRowHeight="14" x14ac:dyDescent="0"/>
  <cols>
    <col min="1" max="1" width="9.6640625" style="3" bestFit="1" customWidth="1"/>
    <col min="2" max="3" width="3.83203125" style="3" customWidth="1"/>
    <col min="4" max="4" width="17.33203125" style="3" bestFit="1" customWidth="1"/>
    <col min="5" max="6" width="3.83203125" style="3" customWidth="1"/>
    <col min="7" max="7" width="15.6640625" style="3" bestFit="1" customWidth="1"/>
    <col min="8" max="9" width="3.83203125" style="3" customWidth="1"/>
    <col min="10" max="10" width="18" style="3" bestFit="1" customWidth="1"/>
    <col min="11" max="12" width="3.83203125" style="3" customWidth="1"/>
    <col min="13" max="13" width="18" style="3" bestFit="1" customWidth="1"/>
    <col min="14" max="15" width="3.83203125" style="3" customWidth="1"/>
    <col min="16" max="16" width="17.5" style="3" bestFit="1" customWidth="1"/>
    <col min="17" max="18" width="3.83203125" style="3" customWidth="1"/>
    <col min="19" max="19" width="18.5" style="3" bestFit="1" customWidth="1"/>
    <col min="20" max="21" width="3.83203125" style="3" customWidth="1"/>
    <col min="22" max="22" width="21.83203125" style="3" bestFit="1" customWidth="1"/>
    <col min="23" max="24" width="3.83203125" style="3" customWidth="1"/>
    <col min="25" max="25" width="18.6640625" style="3" customWidth="1"/>
    <col min="26" max="27" width="3.83203125" style="3" customWidth="1"/>
    <col min="28" max="28" width="18.5" style="3" bestFit="1" customWidth="1"/>
    <col min="29" max="30" width="3.83203125" style="3" customWidth="1"/>
    <col min="31" max="31" width="20.83203125" style="3" customWidth="1"/>
  </cols>
  <sheetData>
    <row r="1" spans="1:31" ht="18">
      <c r="A1" s="47" t="s">
        <v>78</v>
      </c>
      <c r="G1"/>
      <c r="H1"/>
      <c r="I1"/>
      <c r="J1"/>
      <c r="K1"/>
      <c r="L1"/>
      <c r="M1"/>
      <c r="N1"/>
      <c r="O1"/>
      <c r="P1"/>
      <c r="Q1"/>
      <c r="R1"/>
      <c r="S1" t="s">
        <v>128</v>
      </c>
      <c r="T1"/>
      <c r="U1"/>
      <c r="V1"/>
      <c r="W1"/>
      <c r="X1"/>
      <c r="Y1"/>
      <c r="Z1"/>
      <c r="AA1"/>
      <c r="AB1"/>
      <c r="AC1"/>
      <c r="AD1"/>
      <c r="AE1"/>
    </row>
    <row r="2" spans="1:31">
      <c r="G2"/>
      <c r="H2"/>
      <c r="I2"/>
      <c r="J2"/>
      <c r="K2"/>
      <c r="L2"/>
      <c r="M2" s="4" t="s">
        <v>20</v>
      </c>
      <c r="N2"/>
      <c r="O2"/>
      <c r="P2"/>
      <c r="Q2"/>
      <c r="R2"/>
      <c r="S2" t="s">
        <v>129</v>
      </c>
    </row>
    <row r="3" spans="1:31">
      <c r="A3" s="3" t="s">
        <v>117</v>
      </c>
      <c r="G3"/>
      <c r="H3"/>
      <c r="I3"/>
      <c r="J3"/>
      <c r="K3"/>
      <c r="L3"/>
      <c r="M3" s="5" t="s">
        <v>21</v>
      </c>
      <c r="N3"/>
      <c r="O3"/>
      <c r="P3"/>
      <c r="Q3"/>
      <c r="R3"/>
      <c r="S3"/>
    </row>
    <row r="4" spans="1:31">
      <c r="A4" s="3" t="s">
        <v>49</v>
      </c>
      <c r="D4" s="81">
        <f>A77</f>
        <v>2.4364160910617091E-2</v>
      </c>
      <c r="G4"/>
      <c r="H4"/>
      <c r="I4"/>
      <c r="J4"/>
      <c r="K4"/>
      <c r="L4" s="6"/>
      <c r="M4" s="51">
        <v>65</v>
      </c>
      <c r="N4"/>
      <c r="O4"/>
      <c r="P4"/>
      <c r="Q4"/>
      <c r="R4"/>
      <c r="S4"/>
    </row>
    <row r="5" spans="1:31">
      <c r="A5" s="21" t="s">
        <v>35</v>
      </c>
      <c r="D5" s="81">
        <f>D44</f>
        <v>4.0016707057138445E-2</v>
      </c>
      <c r="G5"/>
      <c r="H5"/>
      <c r="I5"/>
      <c r="J5"/>
      <c r="K5"/>
      <c r="L5" s="7"/>
      <c r="M5"/>
    </row>
    <row r="6" spans="1:31">
      <c r="A6" s="21" t="s">
        <v>118</v>
      </c>
      <c r="D6" s="82">
        <f>D126</f>
        <v>0.60884972058866227</v>
      </c>
      <c r="G6"/>
      <c r="H6"/>
      <c r="I6"/>
      <c r="J6"/>
      <c r="K6"/>
      <c r="L6" s="7"/>
      <c r="M6"/>
      <c r="Z6"/>
      <c r="AA6"/>
      <c r="AB6"/>
    </row>
    <row r="7" spans="1:31">
      <c r="G7"/>
      <c r="H7"/>
      <c r="I7"/>
      <c r="J7"/>
      <c r="K7"/>
      <c r="L7" s="7"/>
      <c r="M7"/>
      <c r="Z7"/>
      <c r="AA7"/>
      <c r="AB7"/>
    </row>
    <row r="8" spans="1:31">
      <c r="G8"/>
      <c r="H8"/>
      <c r="I8"/>
      <c r="J8" s="4" t="s">
        <v>22</v>
      </c>
      <c r="K8"/>
      <c r="L8" s="7"/>
      <c r="M8"/>
      <c r="Y8"/>
      <c r="Z8"/>
      <c r="AA8"/>
      <c r="AB8"/>
      <c r="AC8"/>
      <c r="AD8"/>
      <c r="AE8"/>
    </row>
    <row r="9" spans="1:31">
      <c r="G9"/>
      <c r="H9"/>
      <c r="I9"/>
      <c r="J9" s="5" t="s">
        <v>23</v>
      </c>
      <c r="K9" s="9"/>
      <c r="L9" s="7"/>
      <c r="M9"/>
      <c r="Y9"/>
      <c r="Z9"/>
      <c r="AA9"/>
      <c r="AB9"/>
      <c r="AC9"/>
      <c r="AD9"/>
      <c r="AE9"/>
    </row>
    <row r="10" spans="1:31">
      <c r="G10"/>
      <c r="H10"/>
      <c r="I10" s="6"/>
      <c r="J10" s="15">
        <f>M4*M16</f>
        <v>6151600.0000000009</v>
      </c>
      <c r="L10" s="7"/>
      <c r="M10"/>
      <c r="P10" s="4" t="s">
        <v>101</v>
      </c>
      <c r="Y10"/>
      <c r="Z10"/>
      <c r="AA10"/>
      <c r="AB10"/>
      <c r="AC10"/>
      <c r="AD10"/>
      <c r="AE10"/>
    </row>
    <row r="11" spans="1:31">
      <c r="G11"/>
      <c r="H11"/>
      <c r="I11" s="7"/>
      <c r="J11"/>
      <c r="L11" s="7"/>
      <c r="M11"/>
      <c r="P11" s="5" t="s">
        <v>102</v>
      </c>
      <c r="Y11"/>
      <c r="Z11"/>
      <c r="AA11"/>
      <c r="AB11"/>
      <c r="AC11"/>
      <c r="AD11"/>
      <c r="AE11"/>
    </row>
    <row r="12" spans="1:31">
      <c r="G12"/>
      <c r="H12"/>
      <c r="I12" s="7"/>
      <c r="J12"/>
      <c r="L12" s="7"/>
      <c r="M12"/>
      <c r="O12" s="6"/>
      <c r="P12" s="17">
        <f>'Process analysis'!C24</f>
        <v>1820.0000000000002</v>
      </c>
      <c r="Y12"/>
      <c r="Z12"/>
      <c r="AA12"/>
      <c r="AB12"/>
      <c r="AC12"/>
      <c r="AD12"/>
      <c r="AE12"/>
    </row>
    <row r="13" spans="1:31">
      <c r="G13"/>
      <c r="H13"/>
      <c r="I13" s="7"/>
      <c r="J13"/>
      <c r="L13" s="7"/>
      <c r="M13"/>
      <c r="O13" s="7"/>
      <c r="Y13"/>
      <c r="Z13"/>
      <c r="AA13"/>
      <c r="AB13"/>
      <c r="AC13"/>
      <c r="AD13"/>
      <c r="AE13"/>
    </row>
    <row r="14" spans="1:31">
      <c r="G14"/>
      <c r="H14"/>
      <c r="I14" s="7"/>
      <c r="J14"/>
      <c r="L14" s="7"/>
      <c r="M14" s="4" t="s">
        <v>26</v>
      </c>
      <c r="O14" s="7"/>
      <c r="Y14"/>
      <c r="Z14"/>
      <c r="AA14"/>
      <c r="AB14"/>
      <c r="AC14"/>
      <c r="AD14"/>
      <c r="AE14"/>
    </row>
    <row r="15" spans="1:31">
      <c r="G15"/>
      <c r="H15"/>
      <c r="I15" s="7"/>
      <c r="J15"/>
      <c r="L15" s="10"/>
      <c r="M15" s="5" t="s">
        <v>27</v>
      </c>
      <c r="N15" s="10"/>
      <c r="O15" s="7"/>
      <c r="Y15"/>
      <c r="Z15"/>
      <c r="AA15"/>
      <c r="AB15"/>
      <c r="AC15"/>
      <c r="AD15"/>
      <c r="AE15"/>
    </row>
    <row r="16" spans="1:31">
      <c r="G16"/>
      <c r="H16"/>
      <c r="I16" s="7"/>
      <c r="J16"/>
      <c r="M16" s="70">
        <f>P12*P20</f>
        <v>94640.000000000015</v>
      </c>
      <c r="O16" s="7"/>
      <c r="Y16"/>
      <c r="Z16"/>
      <c r="AA16"/>
      <c r="AB16"/>
      <c r="AC16"/>
      <c r="AD16"/>
      <c r="AE16"/>
    </row>
    <row r="17" spans="1:31">
      <c r="G17"/>
      <c r="H17"/>
      <c r="I17" s="7"/>
      <c r="J17"/>
      <c r="M17" s="13"/>
      <c r="O17" s="7"/>
      <c r="Y17"/>
      <c r="Z17"/>
      <c r="AA17"/>
      <c r="AB17"/>
      <c r="AC17"/>
      <c r="AD17"/>
      <c r="AE17"/>
    </row>
    <row r="18" spans="1:31">
      <c r="G18"/>
      <c r="H18"/>
      <c r="I18" s="7"/>
      <c r="J18"/>
      <c r="M18"/>
      <c r="O18" s="7"/>
      <c r="P18" s="4" t="s">
        <v>103</v>
      </c>
      <c r="Y18"/>
      <c r="Z18"/>
      <c r="AA18"/>
      <c r="AB18"/>
      <c r="AC18"/>
      <c r="AD18"/>
      <c r="AE18"/>
    </row>
    <row r="19" spans="1:31">
      <c r="G19" s="4" t="s">
        <v>28</v>
      </c>
      <c r="H19"/>
      <c r="I19" s="7"/>
      <c r="J19" s="13"/>
      <c r="M19"/>
      <c r="O19" s="10"/>
      <c r="P19" s="5" t="s">
        <v>25</v>
      </c>
      <c r="Y19"/>
      <c r="Z19"/>
      <c r="AA19"/>
      <c r="AB19"/>
      <c r="AC19"/>
      <c r="AD19"/>
      <c r="AE19"/>
    </row>
    <row r="20" spans="1:31">
      <c r="G20" s="5" t="s">
        <v>29</v>
      </c>
      <c r="H20" s="9"/>
      <c r="I20" s="7"/>
      <c r="J20"/>
      <c r="M20"/>
      <c r="P20" s="64">
        <f>312/6</f>
        <v>52</v>
      </c>
      <c r="Y20"/>
      <c r="Z20"/>
      <c r="AA20"/>
      <c r="AB20"/>
      <c r="AC20"/>
      <c r="AD20"/>
      <c r="AE20"/>
    </row>
    <row r="21" spans="1:31">
      <c r="F21" s="6"/>
      <c r="G21" s="12">
        <f>J10+J32+J41</f>
        <v>9241603.6363636386</v>
      </c>
      <c r="H21"/>
      <c r="I21" s="7"/>
      <c r="J21"/>
      <c r="M21"/>
      <c r="Y21"/>
      <c r="Z21"/>
      <c r="AA21"/>
      <c r="AB21"/>
      <c r="AC21"/>
      <c r="AD21"/>
      <c r="AE21"/>
    </row>
    <row r="22" spans="1:31">
      <c r="F22" s="7"/>
      <c r="G22"/>
      <c r="H22"/>
      <c r="I22" s="7"/>
      <c r="J22"/>
      <c r="M22"/>
      <c r="Y22"/>
      <c r="Z22"/>
      <c r="AA22"/>
      <c r="AB22"/>
      <c r="AC22"/>
      <c r="AD22"/>
      <c r="AE22"/>
    </row>
    <row r="23" spans="1:31">
      <c r="A23" s="14"/>
      <c r="F23" s="7"/>
      <c r="G23"/>
      <c r="H23"/>
      <c r="I23" s="7"/>
      <c r="J23"/>
      <c r="M23"/>
      <c r="Y23"/>
      <c r="Z23"/>
      <c r="AA23"/>
      <c r="AB23"/>
      <c r="AC23"/>
      <c r="AD23"/>
      <c r="AE23"/>
    </row>
    <row r="24" spans="1:31">
      <c r="F24" s="7"/>
      <c r="G24"/>
      <c r="H24"/>
      <c r="I24" s="7"/>
      <c r="J24"/>
      <c r="M24"/>
      <c r="Y24"/>
      <c r="Z24"/>
      <c r="AA24"/>
      <c r="AB24"/>
      <c r="AC24"/>
      <c r="AD24"/>
      <c r="AE24"/>
    </row>
    <row r="25" spans="1:31">
      <c r="F25" s="7"/>
      <c r="G25"/>
      <c r="H25"/>
      <c r="I25" s="7"/>
      <c r="J25"/>
      <c r="K25"/>
      <c r="L25"/>
      <c r="M25"/>
      <c r="Y25"/>
      <c r="Z25"/>
      <c r="AA25"/>
      <c r="AB25"/>
      <c r="AC25"/>
      <c r="AD25"/>
      <c r="AE25"/>
    </row>
    <row r="26" spans="1:31">
      <c r="F26" s="7"/>
      <c r="G26" s="29"/>
      <c r="H26"/>
      <c r="I26" s="7"/>
      <c r="J26"/>
      <c r="K26"/>
      <c r="L26"/>
      <c r="M26" s="4" t="s">
        <v>26</v>
      </c>
      <c r="N26"/>
      <c r="O26"/>
      <c r="P26"/>
      <c r="Q26"/>
      <c r="R26"/>
      <c r="S26"/>
      <c r="Y26"/>
      <c r="Z26"/>
      <c r="AA26"/>
      <c r="AB26"/>
      <c r="AC26"/>
      <c r="AD26"/>
      <c r="AE26"/>
    </row>
    <row r="27" spans="1:31">
      <c r="F27" s="7"/>
      <c r="G27"/>
      <c r="H27"/>
      <c r="I27" s="7"/>
      <c r="J27"/>
      <c r="K27"/>
      <c r="L27"/>
      <c r="M27" s="5" t="s">
        <v>27</v>
      </c>
      <c r="N27"/>
      <c r="O27"/>
      <c r="P27"/>
      <c r="Q27"/>
      <c r="R27"/>
      <c r="S27"/>
      <c r="Y27"/>
      <c r="Z27"/>
      <c r="AA27"/>
      <c r="AB27"/>
      <c r="AC27"/>
      <c r="AD27"/>
      <c r="AE27"/>
    </row>
    <row r="28" spans="1:31">
      <c r="F28" s="7"/>
      <c r="G28"/>
      <c r="H28"/>
      <c r="I28" s="7"/>
      <c r="J28"/>
      <c r="K28"/>
      <c r="L28" s="6"/>
      <c r="M28" s="15">
        <f>M16</f>
        <v>94640.000000000015</v>
      </c>
      <c r="N28"/>
      <c r="O28"/>
      <c r="P28"/>
      <c r="Q28"/>
      <c r="R28"/>
      <c r="S28" s="16"/>
    </row>
    <row r="29" spans="1:31">
      <c r="F29" s="7"/>
      <c r="G29"/>
      <c r="H29"/>
      <c r="I29" s="7"/>
      <c r="J29"/>
      <c r="K29"/>
      <c r="L29" s="7"/>
      <c r="N29"/>
      <c r="O29"/>
      <c r="P29"/>
      <c r="Q29"/>
      <c r="R29"/>
      <c r="S29"/>
    </row>
    <row r="30" spans="1:31">
      <c r="F30" s="7"/>
      <c r="G30"/>
      <c r="H30"/>
      <c r="I30" s="7"/>
      <c r="J30" s="4" t="s">
        <v>30</v>
      </c>
      <c r="K30"/>
      <c r="L30" s="7"/>
      <c r="M30" s="4"/>
      <c r="N30"/>
      <c r="O30"/>
      <c r="P30"/>
      <c r="Q30"/>
      <c r="R30"/>
      <c r="S30"/>
    </row>
    <row r="31" spans="1:31">
      <c r="F31" s="7"/>
      <c r="G31"/>
      <c r="H31"/>
      <c r="I31" s="9"/>
      <c r="J31" s="5" t="s">
        <v>23</v>
      </c>
      <c r="K31" s="10"/>
      <c r="L31" s="10"/>
      <c r="M31" s="5" t="s">
        <v>31</v>
      </c>
      <c r="N31"/>
      <c r="O31"/>
      <c r="P31"/>
      <c r="Q31"/>
      <c r="R31"/>
      <c r="S31"/>
    </row>
    <row r="32" spans="1:31">
      <c r="F32" s="7"/>
      <c r="G32"/>
      <c r="H32"/>
      <c r="I32" s="7"/>
      <c r="J32" s="15">
        <f>M28*M32*M36</f>
        <v>2460640.0000000005</v>
      </c>
      <c r="K32"/>
      <c r="L32" s="7"/>
      <c r="M32" s="33">
        <v>0.65</v>
      </c>
      <c r="N32"/>
      <c r="O32"/>
      <c r="P32"/>
      <c r="Q32"/>
      <c r="R32"/>
      <c r="S32"/>
    </row>
    <row r="33" spans="3:22">
      <c r="F33" s="7"/>
      <c r="G33"/>
      <c r="I33" s="7"/>
      <c r="L33" s="7"/>
      <c r="M33"/>
      <c r="N33"/>
      <c r="O33"/>
      <c r="P33"/>
      <c r="Q33"/>
      <c r="R33"/>
      <c r="S33"/>
    </row>
    <row r="34" spans="3:22">
      <c r="F34" s="7"/>
      <c r="G34"/>
      <c r="I34" s="7"/>
      <c r="J34"/>
      <c r="K34"/>
      <c r="L34" s="7"/>
      <c r="M34" s="4" t="s">
        <v>32</v>
      </c>
      <c r="N34"/>
      <c r="O34"/>
      <c r="P34"/>
      <c r="Q34"/>
      <c r="R34"/>
      <c r="S34"/>
    </row>
    <row r="35" spans="3:22">
      <c r="F35" s="7"/>
      <c r="G35"/>
      <c r="I35" s="7"/>
      <c r="J35"/>
      <c r="K35"/>
      <c r="L35" s="10"/>
      <c r="M35" s="5" t="s">
        <v>33</v>
      </c>
      <c r="N35"/>
      <c r="O35"/>
      <c r="P35"/>
      <c r="Q35"/>
      <c r="R35"/>
      <c r="S35"/>
    </row>
    <row r="36" spans="3:22">
      <c r="F36" s="7"/>
      <c r="G36"/>
      <c r="I36" s="7"/>
      <c r="J36"/>
      <c r="K36"/>
      <c r="L36"/>
      <c r="M36" s="28">
        <v>40</v>
      </c>
      <c r="N36"/>
      <c r="O36"/>
      <c r="P36"/>
      <c r="Q36"/>
      <c r="R36"/>
      <c r="S36"/>
    </row>
    <row r="37" spans="3:22">
      <c r="F37" s="7"/>
      <c r="G37"/>
      <c r="I37" s="7"/>
      <c r="J37"/>
      <c r="K37"/>
      <c r="L37"/>
      <c r="M37"/>
      <c r="N37"/>
      <c r="O37"/>
      <c r="P37"/>
      <c r="Q37"/>
      <c r="R37"/>
      <c r="S37"/>
    </row>
    <row r="38" spans="3:22">
      <c r="F38" s="7"/>
      <c r="G38"/>
      <c r="I38" s="7"/>
      <c r="J38"/>
      <c r="K38"/>
      <c r="L38"/>
      <c r="M38"/>
      <c r="N38"/>
      <c r="O38"/>
      <c r="P38"/>
      <c r="Q38"/>
      <c r="R38"/>
      <c r="S38"/>
    </row>
    <row r="39" spans="3:22">
      <c r="F39" s="7"/>
      <c r="G39"/>
      <c r="I39" s="7"/>
      <c r="J39" s="4" t="s">
        <v>34</v>
      </c>
      <c r="K39"/>
      <c r="L39"/>
      <c r="M39"/>
      <c r="N39"/>
      <c r="O39"/>
      <c r="P39"/>
      <c r="Q39"/>
      <c r="R39"/>
      <c r="S39"/>
    </row>
    <row r="40" spans="3:22">
      <c r="F40" s="7"/>
      <c r="G40"/>
      <c r="I40" s="10"/>
      <c r="J40" s="5" t="s">
        <v>23</v>
      </c>
      <c r="K40"/>
      <c r="L40"/>
      <c r="M40"/>
      <c r="N40"/>
      <c r="O40"/>
      <c r="P40"/>
      <c r="Q40"/>
      <c r="R40"/>
      <c r="S40"/>
    </row>
    <row r="41" spans="3:22">
      <c r="F41" s="7"/>
      <c r="G41"/>
      <c r="J41" s="35">
        <f>98.9*10^6 *7%/11</f>
        <v>629363.63636363647</v>
      </c>
      <c r="K41"/>
      <c r="L41"/>
      <c r="M41" s="32"/>
      <c r="N41"/>
      <c r="O41"/>
      <c r="P41"/>
      <c r="Q41"/>
      <c r="R41"/>
      <c r="S41"/>
    </row>
    <row r="42" spans="3:22">
      <c r="D42" s="4" t="s">
        <v>35</v>
      </c>
      <c r="F42" s="7"/>
    </row>
    <row r="43" spans="3:22">
      <c r="D43" s="5" t="s">
        <v>36</v>
      </c>
      <c r="E43" s="10"/>
      <c r="F43" s="7"/>
    </row>
    <row r="44" spans="3:22">
      <c r="C44" s="6"/>
      <c r="D44" s="18">
        <f>1-G66/G21</f>
        <v>4.0016707057138445E-2</v>
      </c>
      <c r="F44" s="7"/>
      <c r="M44" s="37" t="s">
        <v>71</v>
      </c>
      <c r="T44"/>
      <c r="U44"/>
      <c r="V44"/>
    </row>
    <row r="45" spans="3:22">
      <c r="C45" s="7"/>
      <c r="F45" s="7"/>
      <c r="L45" s="6"/>
      <c r="M45" s="35">
        <f>1000*(Sheet3!B2+Sheet3!B3)/11</f>
        <v>551818.18181818177</v>
      </c>
      <c r="P45" s="19"/>
      <c r="T45"/>
      <c r="U45"/>
      <c r="V45"/>
    </row>
    <row r="46" spans="3:22">
      <c r="C46" s="7"/>
      <c r="F46" s="7"/>
      <c r="L46" s="7"/>
      <c r="M46" s="21"/>
      <c r="Q46"/>
      <c r="R46"/>
      <c r="S46" s="4" t="s">
        <v>69</v>
      </c>
      <c r="T46"/>
      <c r="U46"/>
      <c r="V46"/>
    </row>
    <row r="47" spans="3:22">
      <c r="C47" s="7"/>
      <c r="F47" s="7"/>
      <c r="L47" s="7"/>
      <c r="M47" s="37" t="s">
        <v>38</v>
      </c>
      <c r="Q47"/>
      <c r="R47" s="8"/>
      <c r="S47" s="5" t="s">
        <v>70</v>
      </c>
      <c r="T47"/>
      <c r="U47"/>
      <c r="V47"/>
    </row>
    <row r="48" spans="3:22">
      <c r="C48" s="7"/>
      <c r="F48" s="7"/>
      <c r="L48" s="4"/>
      <c r="M48" s="35">
        <f>200000/11</f>
        <v>18181.81818181818</v>
      </c>
      <c r="P48" s="20"/>
      <c r="Q48"/>
      <c r="R48" s="7"/>
      <c r="S48" s="69">
        <f>V58</f>
        <v>41</v>
      </c>
      <c r="T48"/>
      <c r="U48"/>
      <c r="V48"/>
    </row>
    <row r="49" spans="3:26">
      <c r="C49" s="7"/>
      <c r="F49" s="7"/>
      <c r="J49" s="4" t="s">
        <v>39</v>
      </c>
      <c r="L49" s="7"/>
      <c r="M49" s="21"/>
      <c r="N49"/>
      <c r="O49"/>
      <c r="P49" s="4" t="s">
        <v>44</v>
      </c>
      <c r="Q49"/>
      <c r="R49" s="7"/>
      <c r="S49"/>
      <c r="T49"/>
      <c r="U49"/>
      <c r="V49"/>
    </row>
    <row r="50" spans="3:26">
      <c r="C50" s="7"/>
      <c r="F50" s="7"/>
      <c r="J50" s="5" t="s">
        <v>25</v>
      </c>
      <c r="K50" s="10"/>
      <c r="L50" s="7"/>
      <c r="M50" s="37" t="s">
        <v>40</v>
      </c>
      <c r="N50"/>
      <c r="O50" s="8"/>
      <c r="P50" s="5" t="s">
        <v>112</v>
      </c>
      <c r="Q50" s="10"/>
      <c r="R50" s="7"/>
      <c r="S50"/>
      <c r="T50"/>
      <c r="U50"/>
      <c r="V50" s="16"/>
    </row>
    <row r="51" spans="3:26">
      <c r="C51" s="7"/>
      <c r="F51" s="7"/>
      <c r="I51" s="6"/>
      <c r="J51" s="15">
        <f>M45+M48+M51+M54+M57+M60</f>
        <v>4814143.2727272725</v>
      </c>
      <c r="L51" s="4"/>
      <c r="M51" s="35">
        <f>7000000/11</f>
        <v>636363.63636363635</v>
      </c>
      <c r="N51"/>
      <c r="O51" s="7"/>
      <c r="P51" s="36">
        <f>S48*S54</f>
        <v>384908</v>
      </c>
      <c r="Q51"/>
      <c r="R51" s="7"/>
      <c r="S51"/>
      <c r="T51"/>
      <c r="U51"/>
      <c r="V51"/>
    </row>
    <row r="52" spans="3:26">
      <c r="C52" s="7"/>
      <c r="F52" s="7"/>
      <c r="I52" s="7"/>
      <c r="L52" s="7"/>
      <c r="M52" s="21"/>
      <c r="N52"/>
      <c r="O52" s="7"/>
      <c r="P52"/>
      <c r="Q52"/>
      <c r="R52" s="7"/>
      <c r="S52" s="4" t="s">
        <v>114</v>
      </c>
      <c r="T52"/>
      <c r="U52"/>
      <c r="V52"/>
    </row>
    <row r="53" spans="3:26">
      <c r="C53" s="7"/>
      <c r="F53" s="7"/>
      <c r="I53" s="7"/>
      <c r="L53" s="7"/>
      <c r="M53" s="37" t="s">
        <v>41</v>
      </c>
      <c r="N53" s="10"/>
      <c r="O53" s="7"/>
      <c r="P53"/>
      <c r="Q53"/>
      <c r="R53" s="10"/>
      <c r="S53" s="5" t="s">
        <v>113</v>
      </c>
      <c r="T53"/>
      <c r="U53"/>
      <c r="V53"/>
    </row>
    <row r="54" spans="3:26">
      <c r="C54" s="7"/>
      <c r="F54" s="7"/>
      <c r="I54" s="7"/>
      <c r="L54" s="4"/>
      <c r="M54" s="35">
        <f>P51+P57</f>
        <v>471416</v>
      </c>
      <c r="N54"/>
      <c r="O54" s="7"/>
      <c r="P54"/>
      <c r="Q54"/>
      <c r="R54"/>
      <c r="S54" s="35">
        <v>9388</v>
      </c>
      <c r="T54"/>
      <c r="U54"/>
      <c r="V54"/>
    </row>
    <row r="55" spans="3:26">
      <c r="C55" s="7"/>
      <c r="F55" s="7"/>
      <c r="I55" s="7"/>
      <c r="L55" s="7"/>
      <c r="M55" s="21"/>
      <c r="N55"/>
      <c r="O55" s="7"/>
      <c r="P55" s="4" t="s">
        <v>115</v>
      </c>
      <c r="T55"/>
      <c r="U55"/>
      <c r="V55"/>
    </row>
    <row r="56" spans="3:26">
      <c r="C56" s="7"/>
      <c r="F56" s="7"/>
      <c r="I56" s="7"/>
      <c r="L56" s="10"/>
      <c r="M56" s="37" t="s">
        <v>42</v>
      </c>
      <c r="N56"/>
      <c r="O56" s="10"/>
      <c r="P56" s="5" t="s">
        <v>25</v>
      </c>
      <c r="T56"/>
      <c r="U56"/>
      <c r="V56" s="4" t="s">
        <v>69</v>
      </c>
    </row>
    <row r="57" spans="3:26">
      <c r="C57" s="7"/>
      <c r="F57" s="7"/>
      <c r="I57" s="7"/>
      <c r="L57" s="4"/>
      <c r="M57" s="35">
        <f>Sheet3!B4*1000/11</f>
        <v>136363.63636363635</v>
      </c>
      <c r="N57"/>
      <c r="O57"/>
      <c r="P57" s="35">
        <f>12*312*(3+2*2)+(950*3*2+600*(3+2*2))+600*12*(3+2*2)</f>
        <v>86508</v>
      </c>
      <c r="T57"/>
      <c r="U57" s="8"/>
      <c r="V57" s="5" t="s">
        <v>70</v>
      </c>
    </row>
    <row r="58" spans="3:26">
      <c r="C58" s="7"/>
      <c r="F58" s="7"/>
      <c r="I58" s="7"/>
      <c r="L58" s="7"/>
      <c r="M58" s="21"/>
      <c r="T58"/>
      <c r="U58" s="7"/>
      <c r="V58" s="69">
        <f>'Process analysis'!I7</f>
        <v>41</v>
      </c>
    </row>
    <row r="59" spans="3:26">
      <c r="C59" s="7"/>
      <c r="F59" s="7"/>
      <c r="I59" s="7"/>
      <c r="L59" s="10"/>
      <c r="M59" s="77" t="s">
        <v>116</v>
      </c>
      <c r="S59" s="4" t="s">
        <v>43</v>
      </c>
      <c r="T59"/>
      <c r="U59" s="7"/>
      <c r="V59"/>
    </row>
    <row r="60" spans="3:26">
      <c r="C60" s="7"/>
      <c r="F60" s="7"/>
      <c r="I60" s="7"/>
      <c r="M60" s="78">
        <v>3000000</v>
      </c>
      <c r="S60" s="5" t="s">
        <v>25</v>
      </c>
      <c r="T60" s="10"/>
      <c r="U60" s="7"/>
      <c r="V60"/>
    </row>
    <row r="61" spans="3:26">
      <c r="C61" s="7"/>
      <c r="F61" s="7"/>
      <c r="I61" s="7"/>
      <c r="R61" s="6"/>
      <c r="S61" s="15">
        <f>V58*V64</f>
        <v>153504</v>
      </c>
      <c r="T61"/>
      <c r="U61" s="7"/>
      <c r="V61"/>
      <c r="X61" s="21"/>
    </row>
    <row r="62" spans="3:26">
      <c r="C62" s="7"/>
      <c r="F62" s="7"/>
      <c r="I62" s="7"/>
      <c r="P62" s="4"/>
      <c r="R62" s="7"/>
      <c r="T62"/>
      <c r="U62" s="7"/>
      <c r="V62" s="4" t="s">
        <v>24</v>
      </c>
      <c r="X62" s="21"/>
      <c r="Z62" s="21"/>
    </row>
    <row r="63" spans="3:26">
      <c r="C63" s="7"/>
      <c r="F63" s="7"/>
      <c r="I63" s="7"/>
      <c r="P63" s="5" t="s">
        <v>44</v>
      </c>
      <c r="Q63" s="10"/>
      <c r="R63" s="7"/>
      <c r="T63"/>
      <c r="U63" s="10"/>
      <c r="V63" s="5" t="s">
        <v>25</v>
      </c>
      <c r="X63" s="21"/>
      <c r="Y63" s="21"/>
      <c r="Z63" s="22"/>
    </row>
    <row r="64" spans="3:26">
      <c r="C64" s="7"/>
      <c r="F64" s="7"/>
      <c r="G64" s="4" t="s">
        <v>45</v>
      </c>
      <c r="I64" s="7"/>
      <c r="O64" s="6"/>
      <c r="P64" s="15">
        <f>S61*S67</f>
        <v>1842048</v>
      </c>
      <c r="R64" s="7"/>
      <c r="T64"/>
      <c r="U64"/>
      <c r="V64" s="35">
        <f>312*12</f>
        <v>3744</v>
      </c>
      <c r="X64" s="21"/>
      <c r="Y64" s="21"/>
      <c r="Z64" s="21"/>
    </row>
    <row r="65" spans="1:26">
      <c r="C65" s="7"/>
      <c r="F65" s="10"/>
      <c r="G65" s="23" t="s">
        <v>25</v>
      </c>
      <c r="H65" s="10"/>
      <c r="I65" s="7"/>
      <c r="O65" s="7"/>
      <c r="R65" s="7"/>
      <c r="S65" s="4" t="s">
        <v>46</v>
      </c>
      <c r="T65"/>
      <c r="U65"/>
      <c r="V65"/>
      <c r="X65" s="21"/>
      <c r="Y65" s="21"/>
      <c r="Z65" s="21"/>
    </row>
    <row r="66" spans="1:26">
      <c r="C66" s="7"/>
      <c r="G66" s="11">
        <f>J51+J81</f>
        <v>8871785.0909090899</v>
      </c>
      <c r="I66" s="7"/>
      <c r="O66" s="7"/>
      <c r="P66" s="27"/>
      <c r="R66" s="10"/>
      <c r="S66" s="5" t="s">
        <v>47</v>
      </c>
      <c r="T66"/>
      <c r="U66"/>
      <c r="V66"/>
      <c r="X66" s="21"/>
      <c r="Y66" s="21"/>
      <c r="Z66" s="21"/>
    </row>
    <row r="67" spans="1:26">
      <c r="C67" s="7"/>
      <c r="I67" s="7"/>
      <c r="O67" s="7"/>
      <c r="S67" s="28">
        <v>12</v>
      </c>
      <c r="T67"/>
      <c r="U67"/>
      <c r="V67"/>
    </row>
    <row r="68" spans="1:26">
      <c r="C68" s="7"/>
      <c r="I68" s="7"/>
      <c r="N68" s="42"/>
      <c r="T68"/>
      <c r="U68"/>
      <c r="V68"/>
    </row>
    <row r="69" spans="1:26">
      <c r="C69" s="7"/>
      <c r="I69" s="7"/>
      <c r="O69" s="7"/>
      <c r="S69" s="4" t="s">
        <v>43</v>
      </c>
      <c r="T69"/>
      <c r="U69"/>
      <c r="V69"/>
    </row>
    <row r="70" spans="1:26">
      <c r="C70" s="7"/>
      <c r="I70" s="7"/>
      <c r="O70" s="7"/>
      <c r="S70" s="5" t="s">
        <v>25</v>
      </c>
      <c r="T70"/>
      <c r="U70"/>
      <c r="V70"/>
    </row>
    <row r="71" spans="1:26">
      <c r="C71" s="7"/>
      <c r="I71" s="7"/>
      <c r="O71" s="7"/>
      <c r="R71" s="6"/>
      <c r="S71" s="15">
        <f>V64*3</f>
        <v>11232</v>
      </c>
      <c r="T71" t="s">
        <v>108</v>
      </c>
      <c r="U71"/>
      <c r="V71"/>
    </row>
    <row r="72" spans="1:26">
      <c r="C72" s="7"/>
      <c r="I72" s="7"/>
      <c r="L72" s="42"/>
      <c r="M72" s="41" t="s">
        <v>48</v>
      </c>
      <c r="O72" s="7"/>
      <c r="P72" s="4"/>
      <c r="R72" s="7"/>
      <c r="T72"/>
      <c r="U72"/>
      <c r="V72"/>
    </row>
    <row r="73" spans="1:26">
      <c r="C73" s="7"/>
      <c r="I73" s="7"/>
      <c r="L73" s="8"/>
      <c r="M73" s="42" t="s">
        <v>23</v>
      </c>
      <c r="N73" s="9"/>
      <c r="O73" s="10"/>
      <c r="P73" s="5" t="s">
        <v>72</v>
      </c>
      <c r="Q73" s="10"/>
      <c r="R73" s="7"/>
      <c r="T73"/>
      <c r="U73"/>
      <c r="V73"/>
    </row>
    <row r="74" spans="1:26">
      <c r="C74" s="7"/>
      <c r="I74" s="7"/>
      <c r="L74" s="7"/>
      <c r="M74" s="15">
        <f>P64+P74+P84</f>
        <v>2134080</v>
      </c>
      <c r="O74" s="6"/>
      <c r="P74" s="12">
        <f>S71*S77</f>
        <v>112320</v>
      </c>
      <c r="R74" s="7"/>
      <c r="T74"/>
      <c r="U74"/>
      <c r="V74"/>
    </row>
    <row r="75" spans="1:26">
      <c r="A75" s="4"/>
      <c r="C75" s="7"/>
      <c r="I75" s="7"/>
      <c r="L75" s="7"/>
      <c r="O75" s="7"/>
      <c r="R75" s="7"/>
      <c r="S75" s="4" t="s">
        <v>46</v>
      </c>
      <c r="T75"/>
      <c r="U75"/>
      <c r="V75"/>
    </row>
    <row r="76" spans="1:26">
      <c r="A76" s="5" t="s">
        <v>49</v>
      </c>
      <c r="B76" s="10"/>
      <c r="C76" s="7"/>
      <c r="I76" s="7"/>
      <c r="L76" s="7"/>
      <c r="O76" s="7"/>
      <c r="R76" s="10"/>
      <c r="S76" s="5" t="s">
        <v>47</v>
      </c>
      <c r="T76"/>
      <c r="U76"/>
      <c r="V76"/>
    </row>
    <row r="77" spans="1:26">
      <c r="A77" s="18">
        <f>D44*D126</f>
        <v>2.4364160910617091E-2</v>
      </c>
      <c r="C77" s="7"/>
      <c r="I77" s="7"/>
      <c r="L77" s="7"/>
      <c r="O77" s="7"/>
      <c r="S77" s="28">
        <v>10</v>
      </c>
      <c r="T77"/>
      <c r="U77"/>
      <c r="V77"/>
    </row>
    <row r="78" spans="1:26">
      <c r="C78" s="7"/>
      <c r="I78" s="7"/>
      <c r="L78" s="7"/>
      <c r="O78" s="7"/>
      <c r="T78"/>
      <c r="U78"/>
      <c r="V78"/>
    </row>
    <row r="79" spans="1:26">
      <c r="C79" s="7"/>
      <c r="I79" s="7"/>
      <c r="J79" s="4" t="s">
        <v>51</v>
      </c>
      <c r="L79" s="7"/>
      <c r="O79" s="7"/>
      <c r="S79" s="4" t="s">
        <v>43</v>
      </c>
      <c r="T79"/>
      <c r="U79"/>
      <c r="V79"/>
    </row>
    <row r="80" spans="1:26">
      <c r="C80" s="7"/>
      <c r="I80" s="10"/>
      <c r="J80" s="5" t="s">
        <v>25</v>
      </c>
      <c r="K80" s="10"/>
      <c r="L80" s="7"/>
      <c r="O80" s="7"/>
      <c r="S80" s="5" t="s">
        <v>25</v>
      </c>
      <c r="T80"/>
      <c r="U80"/>
      <c r="V80"/>
    </row>
    <row r="81" spans="3:31">
      <c r="C81" s="7"/>
      <c r="J81" s="11">
        <f>M74+M102</f>
        <v>4057641.8181818184</v>
      </c>
      <c r="L81" s="7"/>
      <c r="O81" s="7"/>
      <c r="R81" s="6"/>
      <c r="S81" s="36">
        <f>V64*4</f>
        <v>14976</v>
      </c>
      <c r="T81" t="s">
        <v>111</v>
      </c>
      <c r="U81"/>
      <c r="V81"/>
    </row>
    <row r="82" spans="3:31">
      <c r="C82" s="7"/>
      <c r="L82" s="7"/>
      <c r="O82" s="7"/>
      <c r="P82" s="4"/>
      <c r="R82" s="7"/>
      <c r="T82"/>
      <c r="U82"/>
      <c r="V82"/>
    </row>
    <row r="83" spans="3:31">
      <c r="C83" s="7"/>
      <c r="L83" s="7"/>
      <c r="O83" s="10"/>
      <c r="P83" s="5" t="s">
        <v>34</v>
      </c>
      <c r="Q83" s="10"/>
      <c r="R83" s="7"/>
      <c r="T83"/>
      <c r="U83"/>
      <c r="V83"/>
    </row>
    <row r="84" spans="3:31">
      <c r="C84" s="7"/>
      <c r="L84" s="7"/>
      <c r="P84" s="15">
        <f>S81*S87</f>
        <v>179712</v>
      </c>
      <c r="R84" s="7"/>
      <c r="T84"/>
      <c r="AD84"/>
      <c r="AE84"/>
    </row>
    <row r="85" spans="3:31">
      <c r="C85" s="7"/>
      <c r="L85" s="7"/>
      <c r="R85" s="7"/>
      <c r="S85" s="4" t="s">
        <v>46</v>
      </c>
      <c r="T85"/>
      <c r="AD85"/>
      <c r="AE85"/>
    </row>
    <row r="86" spans="3:31">
      <c r="C86" s="7"/>
      <c r="L86" s="7"/>
      <c r="R86" s="10"/>
      <c r="S86" s="5" t="s">
        <v>50</v>
      </c>
      <c r="T86"/>
      <c r="AD86"/>
      <c r="AE86"/>
    </row>
    <row r="87" spans="3:31">
      <c r="C87" s="7"/>
      <c r="L87" s="7"/>
      <c r="S87" s="28">
        <v>12</v>
      </c>
      <c r="T87"/>
      <c r="AD87"/>
      <c r="AE87"/>
    </row>
    <row r="88" spans="3:31">
      <c r="C88" s="7"/>
      <c r="L88" s="7"/>
      <c r="AC88"/>
      <c r="AD88"/>
      <c r="AE88"/>
    </row>
    <row r="89" spans="3:31">
      <c r="C89" s="7"/>
      <c r="L89" s="7"/>
      <c r="T89"/>
      <c r="AD89"/>
      <c r="AE89"/>
    </row>
    <row r="90" spans="3:31">
      <c r="C90" s="7"/>
      <c r="L90" s="7"/>
      <c r="S90" s="4" t="s">
        <v>26</v>
      </c>
      <c r="T90"/>
      <c r="AD90"/>
      <c r="AE90"/>
    </row>
    <row r="91" spans="3:31">
      <c r="C91" s="7"/>
      <c r="L91" s="7"/>
      <c r="S91" s="5" t="s">
        <v>52</v>
      </c>
      <c r="T91"/>
      <c r="AD91"/>
      <c r="AE91"/>
    </row>
    <row r="92" spans="3:31">
      <c r="C92" s="7"/>
      <c r="L92" s="7"/>
      <c r="R92" s="6"/>
      <c r="S92" s="15">
        <f>M16</f>
        <v>94640.000000000015</v>
      </c>
      <c r="T92"/>
      <c r="AD92"/>
      <c r="AE92"/>
    </row>
    <row r="93" spans="3:31">
      <c r="C93" s="7"/>
      <c r="L93" s="7"/>
      <c r="P93" s="4" t="s">
        <v>44</v>
      </c>
      <c r="R93" s="7"/>
      <c r="T93"/>
      <c r="AD93"/>
      <c r="AE93"/>
    </row>
    <row r="94" spans="3:31">
      <c r="C94" s="7"/>
      <c r="L94" s="7"/>
      <c r="P94" s="5" t="s">
        <v>23</v>
      </c>
      <c r="Q94" s="10"/>
      <c r="R94" s="7"/>
      <c r="T94"/>
      <c r="U94"/>
      <c r="V94"/>
    </row>
    <row r="95" spans="3:31">
      <c r="C95" s="7"/>
      <c r="L95" s="7"/>
      <c r="O95" s="6"/>
      <c r="P95" s="15">
        <f>S92*S98</f>
        <v>378560.00000000006</v>
      </c>
      <c r="R95" s="7"/>
      <c r="T95"/>
      <c r="U95"/>
      <c r="V95"/>
    </row>
    <row r="96" spans="3:31">
      <c r="C96" s="7"/>
      <c r="L96" s="7"/>
      <c r="O96" s="7"/>
      <c r="R96" s="7"/>
      <c r="S96" s="4" t="s">
        <v>53</v>
      </c>
      <c r="T96"/>
      <c r="U96"/>
      <c r="V96"/>
    </row>
    <row r="97" spans="3:22">
      <c r="C97" s="7"/>
      <c r="L97" s="7"/>
      <c r="O97" s="7"/>
      <c r="R97" s="10"/>
      <c r="S97" s="5" t="s">
        <v>54</v>
      </c>
      <c r="T97"/>
      <c r="U97"/>
      <c r="V97"/>
    </row>
    <row r="98" spans="3:22">
      <c r="C98" s="7"/>
      <c r="L98" s="7"/>
      <c r="O98" s="7"/>
      <c r="S98" s="24">
        <v>4</v>
      </c>
      <c r="T98"/>
      <c r="U98"/>
      <c r="V98"/>
    </row>
    <row r="99" spans="3:22">
      <c r="C99" s="7"/>
      <c r="L99" s="7"/>
      <c r="O99" s="7"/>
      <c r="T99"/>
      <c r="U99"/>
      <c r="V99"/>
    </row>
    <row r="100" spans="3:22">
      <c r="C100" s="7"/>
      <c r="L100" s="7"/>
      <c r="M100" s="4" t="s">
        <v>53</v>
      </c>
      <c r="O100" s="7"/>
      <c r="P100" s="4" t="s">
        <v>73</v>
      </c>
      <c r="T100"/>
      <c r="U100"/>
      <c r="V100"/>
    </row>
    <row r="101" spans="3:22">
      <c r="C101" s="7"/>
      <c r="L101" s="10"/>
      <c r="M101" s="5" t="s">
        <v>23</v>
      </c>
      <c r="N101" s="10"/>
      <c r="O101" s="9"/>
      <c r="P101" s="5" t="s">
        <v>23</v>
      </c>
      <c r="T101"/>
      <c r="U101"/>
      <c r="V101"/>
    </row>
    <row r="102" spans="3:22">
      <c r="C102" s="7"/>
      <c r="M102" s="15">
        <f>P95+P102+P109</f>
        <v>1923561.8181818184</v>
      </c>
      <c r="O102" s="7"/>
      <c r="P102" s="71">
        <f>J32*0.5</f>
        <v>1230320.0000000002</v>
      </c>
      <c r="T102"/>
      <c r="U102"/>
      <c r="V102"/>
    </row>
    <row r="103" spans="3:22">
      <c r="C103" s="7"/>
      <c r="O103" s="7"/>
      <c r="T103"/>
      <c r="U103"/>
      <c r="V103"/>
    </row>
    <row r="104" spans="3:22">
      <c r="C104" s="7"/>
      <c r="O104" s="7"/>
    </row>
    <row r="105" spans="3:22">
      <c r="C105" s="7"/>
      <c r="O105" s="7"/>
    </row>
    <row r="106" spans="3:22">
      <c r="C106" s="7"/>
      <c r="O106" s="7"/>
      <c r="S106" s="20"/>
    </row>
    <row r="107" spans="3:22">
      <c r="C107" s="7"/>
      <c r="O107" s="7"/>
      <c r="P107" s="4"/>
    </row>
    <row r="108" spans="3:22">
      <c r="C108" s="7"/>
      <c r="O108" s="10"/>
      <c r="P108" s="5" t="s">
        <v>55</v>
      </c>
    </row>
    <row r="109" spans="3:22">
      <c r="C109" s="7"/>
      <c r="P109" s="15">
        <f>50%*J41</f>
        <v>314681.81818181823</v>
      </c>
    </row>
    <row r="110" spans="3:22">
      <c r="C110" s="7"/>
    </row>
    <row r="111" spans="3:22">
      <c r="C111" s="7"/>
      <c r="O111" s="21"/>
    </row>
    <row r="112" spans="3:22">
      <c r="C112" s="7"/>
      <c r="O112" s="21"/>
      <c r="Q112" s="21"/>
      <c r="S112" s="22"/>
    </row>
    <row r="113" spans="3:16">
      <c r="C113" s="7"/>
    </row>
    <row r="114" spans="3:16">
      <c r="C114" s="7"/>
    </row>
    <row r="115" spans="3:16">
      <c r="C115" s="7"/>
    </row>
    <row r="116" spans="3:16">
      <c r="C116" s="7"/>
    </row>
    <row r="117" spans="3:16">
      <c r="C117" s="7"/>
    </row>
    <row r="118" spans="3:16">
      <c r="C118" s="7"/>
    </row>
    <row r="119" spans="3:16">
      <c r="C119" s="7"/>
    </row>
    <row r="120" spans="3:16">
      <c r="C120" s="7"/>
    </row>
    <row r="121" spans="3:16">
      <c r="C121" s="7"/>
      <c r="G121" s="4" t="s">
        <v>28</v>
      </c>
    </row>
    <row r="122" spans="3:16">
      <c r="C122" s="7"/>
      <c r="G122" s="5" t="s">
        <v>56</v>
      </c>
    </row>
    <row r="123" spans="3:16">
      <c r="C123" s="7"/>
      <c r="F123" s="6"/>
      <c r="G123" s="25">
        <f>G21</f>
        <v>9241603.6363636386</v>
      </c>
    </row>
    <row r="124" spans="3:16">
      <c r="C124" s="7"/>
      <c r="D124" s="4" t="s">
        <v>57</v>
      </c>
      <c r="F124" s="7"/>
      <c r="J124" s="77" t="s">
        <v>58</v>
      </c>
      <c r="M124" s="20"/>
    </row>
    <row r="125" spans="3:16">
      <c r="C125" s="10"/>
      <c r="D125" s="5" t="s">
        <v>59</v>
      </c>
      <c r="E125" s="10"/>
      <c r="F125" s="7"/>
      <c r="I125" s="6"/>
      <c r="J125" s="78">
        <v>15000000</v>
      </c>
      <c r="K125" s="43"/>
      <c r="L125" s="44"/>
      <c r="M125" s="44"/>
    </row>
    <row r="126" spans="3:16">
      <c r="D126" s="24">
        <f>G123/G128</f>
        <v>0.60884972058866227</v>
      </c>
      <c r="F126" s="7"/>
      <c r="I126" s="7"/>
    </row>
    <row r="127" spans="3:16">
      <c r="F127" s="10"/>
      <c r="G127" s="4" t="s">
        <v>60</v>
      </c>
      <c r="I127" s="7"/>
      <c r="P127" s="34"/>
    </row>
    <row r="128" spans="3:16">
      <c r="G128" s="15">
        <f>J125+J131</f>
        <v>15178792.604895106</v>
      </c>
      <c r="H128" s="6"/>
      <c r="I128" s="7"/>
      <c r="M128" s="77" t="s">
        <v>61</v>
      </c>
    </row>
    <row r="129" spans="7:19">
      <c r="I129" s="7"/>
      <c r="L129" s="6"/>
      <c r="M129" s="78">
        <f>M102/52/2</f>
        <v>18495.786713286714</v>
      </c>
    </row>
    <row r="130" spans="7:19">
      <c r="I130" s="10"/>
      <c r="J130" s="4" t="s">
        <v>62</v>
      </c>
      <c r="L130" s="7"/>
      <c r="P130" s="4" t="s">
        <v>53</v>
      </c>
    </row>
    <row r="131" spans="7:19">
      <c r="J131" s="15">
        <f>M129+M134</f>
        <v>178792.60489510489</v>
      </c>
      <c r="K131" s="4"/>
      <c r="L131" s="7"/>
      <c r="P131" s="5" t="s">
        <v>25</v>
      </c>
    </row>
    <row r="132" spans="7:19">
      <c r="L132" s="7"/>
      <c r="O132" s="6"/>
      <c r="P132" s="15">
        <f>M102</f>
        <v>1923561.8181818184</v>
      </c>
      <c r="S132" s="26"/>
    </row>
    <row r="133" spans="7:19">
      <c r="L133" s="10"/>
      <c r="M133" s="4" t="s">
        <v>63</v>
      </c>
      <c r="N133" s="10"/>
      <c r="O133" s="7"/>
    </row>
    <row r="134" spans="7:19">
      <c r="M134" s="15">
        <f>P132*P136</f>
        <v>160296.81818181818</v>
      </c>
      <c r="O134" s="7"/>
      <c r="P134" s="77" t="s">
        <v>64</v>
      </c>
    </row>
    <row r="135" spans="7:19">
      <c r="O135" s="10"/>
      <c r="P135" s="79" t="s">
        <v>65</v>
      </c>
    </row>
    <row r="136" spans="7:19">
      <c r="P136" s="80">
        <f>1/12</f>
        <v>8.3333333333333329E-2</v>
      </c>
    </row>
    <row r="138" spans="7:19">
      <c r="G138" s="19"/>
    </row>
    <row r="139" spans="7:19">
      <c r="G139" s="20"/>
    </row>
    <row r="140" spans="7:19">
      <c r="G140" s="20"/>
    </row>
  </sheetData>
  <pageMargins left="0.7" right="0.7" top="0.75" bottom="0.75" header="0.3" footer="0.3"/>
  <pageSetup orientation="portrait" horizontalDpi="1200" verticalDpi="120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topLeftCell="A5" zoomScale="205" zoomScaleNormal="205" zoomScalePageLayoutView="205" workbookViewId="0">
      <pane ySplit="4580" topLeftCell="A21" activePane="bottomLeft"/>
      <selection activeCell="D17" sqref="D17"/>
      <selection pane="bottomLeft" activeCell="B5" sqref="B5:G26"/>
    </sheetView>
  </sheetViews>
  <sheetFormatPr baseColWidth="10" defaultColWidth="8.83203125" defaultRowHeight="14" x14ac:dyDescent="0"/>
  <cols>
    <col min="2" max="2" width="25.83203125" customWidth="1"/>
    <col min="3" max="7" width="8.83203125" style="48"/>
    <col min="9" max="9" width="10.1640625" customWidth="1"/>
    <col min="10" max="11" width="11.6640625" customWidth="1"/>
    <col min="12" max="12" width="16.33203125" customWidth="1"/>
    <col min="13" max="13" width="11.5" bestFit="1" customWidth="1"/>
  </cols>
  <sheetData>
    <row r="1" spans="2:13">
      <c r="C1" s="48" t="s">
        <v>17</v>
      </c>
      <c r="D1" s="48" t="s">
        <v>18</v>
      </c>
      <c r="E1" s="48" t="s">
        <v>19</v>
      </c>
    </row>
    <row r="2" spans="2:13">
      <c r="C2" s="62">
        <v>293</v>
      </c>
      <c r="D2" s="62">
        <v>396</v>
      </c>
      <c r="E2" s="62">
        <v>513</v>
      </c>
      <c r="F2" s="66" t="s">
        <v>104</v>
      </c>
    </row>
    <row r="4" spans="2:13" ht="15" thickBot="1"/>
    <row r="5" spans="2:13" ht="28">
      <c r="C5" s="1" t="s">
        <v>1</v>
      </c>
      <c r="D5" s="1" t="s">
        <v>2</v>
      </c>
      <c r="E5" s="1" t="s">
        <v>3</v>
      </c>
      <c r="F5" s="1" t="s">
        <v>4</v>
      </c>
      <c r="G5" s="2" t="s">
        <v>5</v>
      </c>
    </row>
    <row r="6" spans="2:13">
      <c r="B6" t="s">
        <v>80</v>
      </c>
      <c r="C6" s="48">
        <v>2</v>
      </c>
      <c r="D6" s="48">
        <v>12.5</v>
      </c>
      <c r="E6" s="48">
        <v>40</v>
      </c>
      <c r="F6" s="48">
        <v>8</v>
      </c>
      <c r="G6" s="48">
        <v>14</v>
      </c>
      <c r="H6" s="65"/>
      <c r="I6" t="s">
        <v>109</v>
      </c>
    </row>
    <row r="7" spans="2:13">
      <c r="B7" t="s">
        <v>81</v>
      </c>
      <c r="C7" s="48">
        <v>2</v>
      </c>
      <c r="D7" s="48">
        <v>8</v>
      </c>
      <c r="E7" s="48">
        <v>18</v>
      </c>
      <c r="F7" s="48">
        <v>4</v>
      </c>
      <c r="G7" s="48">
        <v>9</v>
      </c>
      <c r="I7">
        <f>SUM(C7:G7)</f>
        <v>41</v>
      </c>
    </row>
    <row r="8" spans="2:13">
      <c r="B8" t="s">
        <v>79</v>
      </c>
      <c r="C8" s="48">
        <f>C7*60/C6</f>
        <v>60</v>
      </c>
      <c r="D8" s="48">
        <f t="shared" ref="D8:G8" si="0">D7*60/D6</f>
        <v>38.4</v>
      </c>
      <c r="E8" s="48">
        <f t="shared" si="0"/>
        <v>27</v>
      </c>
      <c r="F8" s="48">
        <f t="shared" si="0"/>
        <v>30</v>
      </c>
      <c r="G8" s="61">
        <f t="shared" si="0"/>
        <v>38.571428571428569</v>
      </c>
    </row>
    <row r="9" spans="2:13">
      <c r="B9" t="s">
        <v>82</v>
      </c>
      <c r="C9" s="49">
        <f>60/MIN(C8:G8)</f>
        <v>2.2222222222222223</v>
      </c>
      <c r="D9" s="66" t="s">
        <v>130</v>
      </c>
      <c r="J9" s="48"/>
      <c r="M9" s="48"/>
    </row>
    <row r="10" spans="2:13">
      <c r="B10" t="s">
        <v>83</v>
      </c>
      <c r="C10" s="48">
        <f>MIN(C8:G8)</f>
        <v>27</v>
      </c>
      <c r="J10" s="73"/>
      <c r="M10" s="75"/>
    </row>
    <row r="11" spans="2:13">
      <c r="J11" s="73"/>
      <c r="M11" s="75"/>
    </row>
    <row r="12" spans="2:13">
      <c r="B12" t="s">
        <v>85</v>
      </c>
      <c r="C12" s="48">
        <f>513/12</f>
        <v>42.75</v>
      </c>
      <c r="I12" s="53"/>
      <c r="J12" s="74"/>
      <c r="L12" s="53"/>
      <c r="M12" s="74"/>
    </row>
    <row r="13" spans="2:13">
      <c r="B13" t="s">
        <v>86</v>
      </c>
      <c r="C13" s="48">
        <f>MIN(C12,$C$10)</f>
        <v>27</v>
      </c>
      <c r="J13" s="72"/>
    </row>
    <row r="14" spans="2:13">
      <c r="B14" t="s">
        <v>84</v>
      </c>
      <c r="C14" s="50">
        <f>$C13/C$8</f>
        <v>0.45</v>
      </c>
      <c r="D14" s="50">
        <f t="shared" ref="D14:G14" si="1">$C13/D$8</f>
        <v>0.703125</v>
      </c>
      <c r="E14" s="50">
        <f t="shared" si="1"/>
        <v>1</v>
      </c>
      <c r="F14" s="50">
        <f t="shared" si="1"/>
        <v>0.9</v>
      </c>
      <c r="G14" s="50">
        <f t="shared" si="1"/>
        <v>0.70000000000000007</v>
      </c>
      <c r="M14" s="29"/>
    </row>
    <row r="15" spans="2:13">
      <c r="M15" s="29"/>
    </row>
    <row r="16" spans="2:13">
      <c r="B16" t="s">
        <v>87</v>
      </c>
      <c r="C16" s="48">
        <f>396/12</f>
        <v>33</v>
      </c>
    </row>
    <row r="17" spans="2:12">
      <c r="B17" t="s">
        <v>86</v>
      </c>
      <c r="C17" s="48">
        <f>MIN(C16,$C$10)</f>
        <v>27</v>
      </c>
    </row>
    <row r="18" spans="2:12">
      <c r="B18" t="s">
        <v>84</v>
      </c>
      <c r="C18" s="50">
        <f>$C17/C$8</f>
        <v>0.45</v>
      </c>
      <c r="D18" s="50">
        <f t="shared" ref="D18" si="2">$C17/D$8</f>
        <v>0.703125</v>
      </c>
      <c r="E18" s="50">
        <f t="shared" ref="E18" si="3">$C17/E$8</f>
        <v>1</v>
      </c>
      <c r="F18" s="50">
        <f t="shared" ref="F18" si="4">$C17/F$8</f>
        <v>0.9</v>
      </c>
      <c r="G18" s="50">
        <f t="shared" ref="G18" si="5">$C17/G$8</f>
        <v>0.70000000000000007</v>
      </c>
    </row>
    <row r="20" spans="2:12">
      <c r="B20" t="s">
        <v>88</v>
      </c>
      <c r="C20" s="61">
        <f>293/12</f>
        <v>24.416666666666668</v>
      </c>
      <c r="L20" s="83"/>
    </row>
    <row r="21" spans="2:12">
      <c r="B21" t="s">
        <v>86</v>
      </c>
      <c r="C21" s="61">
        <f>MIN(C20,$C$10)</f>
        <v>24.416666666666668</v>
      </c>
    </row>
    <row r="22" spans="2:12">
      <c r="B22" t="s">
        <v>84</v>
      </c>
      <c r="C22" s="50">
        <f>$C21/C$8</f>
        <v>0.40694444444444444</v>
      </c>
      <c r="D22" s="50">
        <f t="shared" ref="D22" si="6">$C21/D$8</f>
        <v>0.63585069444444453</v>
      </c>
      <c r="E22" s="50">
        <f t="shared" ref="E22" si="7">$C21/E$8</f>
        <v>0.90432098765432101</v>
      </c>
      <c r="F22" s="50">
        <f t="shared" ref="F22" si="8">$C21/F$8</f>
        <v>0.81388888888888888</v>
      </c>
      <c r="G22" s="50">
        <f t="shared" ref="G22" si="9">$C21/G$8</f>
        <v>0.63302469135802475</v>
      </c>
    </row>
    <row r="24" spans="2:12">
      <c r="B24" t="s">
        <v>100</v>
      </c>
      <c r="C24" s="85">
        <f>(C13+C17+C21*4)*12</f>
        <v>1820.0000000000002</v>
      </c>
    </row>
    <row r="25" spans="2:12">
      <c r="B25" t="s">
        <v>105</v>
      </c>
      <c r="C25" s="63">
        <f>(C14+C18+4*C22)/6</f>
        <v>0.42129629629629628</v>
      </c>
      <c r="D25" s="63">
        <f t="shared" ref="D25:G25" si="10">(D14+D18+4*D22)/6</f>
        <v>0.65827546296296302</v>
      </c>
      <c r="E25" s="63">
        <f t="shared" si="10"/>
        <v>0.93621399176954734</v>
      </c>
      <c r="F25" s="63">
        <f t="shared" si="10"/>
        <v>0.84259259259259256</v>
      </c>
      <c r="G25" s="63">
        <f t="shared" si="10"/>
        <v>0.65534979423868311</v>
      </c>
    </row>
    <row r="26" spans="2:12">
      <c r="B26" t="s">
        <v>106</v>
      </c>
      <c r="C26" s="67">
        <f>SUMPRODUCT(C25:G25,C7:G7)/SUM(C7:G7)</f>
        <v>0.78607723577235766</v>
      </c>
      <c r="D26" s="68" t="s">
        <v>107</v>
      </c>
    </row>
  </sheetData>
  <phoneticPr fontId="13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C6" sqref="C6"/>
    </sheetView>
  </sheetViews>
  <sheetFormatPr baseColWidth="10" defaultColWidth="8.83203125" defaultRowHeight="14" x14ac:dyDescent="0"/>
  <cols>
    <col min="1" max="1" width="23.33203125" bestFit="1" customWidth="1"/>
    <col min="2" max="2" width="11.5" style="29" customWidth="1"/>
    <col min="3" max="3" width="14" customWidth="1"/>
    <col min="4" max="4" width="20.1640625" customWidth="1"/>
    <col min="5" max="5" width="13.33203125" bestFit="1" customWidth="1"/>
    <col min="6" max="6" width="3.6640625" customWidth="1"/>
    <col min="7" max="7" width="0.6640625" customWidth="1"/>
    <col min="8" max="8" width="20.5" customWidth="1"/>
    <col min="9" max="9" width="3.6640625" customWidth="1"/>
    <col min="10" max="10" width="0.6640625" customWidth="1"/>
    <col min="11" max="11" width="33.5" bestFit="1" customWidth="1"/>
  </cols>
  <sheetData>
    <row r="1" spans="1:12" ht="28">
      <c r="A1" s="38"/>
      <c r="B1" s="39" t="s">
        <v>68</v>
      </c>
    </row>
    <row r="2" spans="1:12">
      <c r="A2" s="30" t="s">
        <v>37</v>
      </c>
      <c r="B2" s="31">
        <v>6000</v>
      </c>
      <c r="D2" s="29"/>
      <c r="E2" s="29"/>
    </row>
    <row r="3" spans="1:12">
      <c r="A3" s="30" t="s">
        <v>66</v>
      </c>
      <c r="B3" s="31">
        <v>70</v>
      </c>
      <c r="D3" s="29"/>
    </row>
    <row r="4" spans="1:12">
      <c r="A4" s="30" t="s">
        <v>42</v>
      </c>
      <c r="B4" s="31">
        <v>1500</v>
      </c>
    </row>
    <row r="5" spans="1:12">
      <c r="A5" s="30" t="s">
        <v>67</v>
      </c>
      <c r="B5" s="31">
        <v>7000</v>
      </c>
    </row>
    <row r="6" spans="1:12">
      <c r="A6" s="30" t="s">
        <v>38</v>
      </c>
      <c r="B6" s="31">
        <v>200</v>
      </c>
    </row>
    <row r="9" spans="1:12">
      <c r="A9" s="45" t="s">
        <v>74</v>
      </c>
      <c r="B9" s="46" t="s">
        <v>21</v>
      </c>
    </row>
    <row r="10" spans="1:12">
      <c r="A10" s="30" t="s">
        <v>75</v>
      </c>
      <c r="B10" s="31">
        <v>65</v>
      </c>
      <c r="D10" s="40"/>
    </row>
    <row r="11" spans="1:12">
      <c r="A11" s="30" t="s">
        <v>76</v>
      </c>
      <c r="B11" s="31">
        <v>10</v>
      </c>
      <c r="D11" s="40"/>
    </row>
    <row r="12" spans="1:12">
      <c r="A12" s="30" t="s">
        <v>77</v>
      </c>
      <c r="B12" s="31">
        <v>40</v>
      </c>
      <c r="D12" s="40"/>
    </row>
    <row r="13" spans="1:12">
      <c r="D13" s="40"/>
    </row>
    <row r="14" spans="1:12">
      <c r="D14" s="40"/>
      <c r="E14" s="29"/>
    </row>
    <row r="15" spans="1:12" s="53" customFormat="1">
      <c r="A15" s="54" t="s">
        <v>0</v>
      </c>
      <c r="B15" s="39" t="s">
        <v>89</v>
      </c>
      <c r="C15" s="54" t="s">
        <v>90</v>
      </c>
      <c r="D15" s="52"/>
    </row>
    <row r="16" spans="1:12">
      <c r="A16" s="55" t="s">
        <v>6</v>
      </c>
      <c r="B16" s="56">
        <v>618</v>
      </c>
      <c r="C16" s="56">
        <v>40</v>
      </c>
      <c r="D16" s="40"/>
      <c r="E16" s="59"/>
      <c r="F16" s="59"/>
      <c r="G16" s="59"/>
      <c r="H16" s="59"/>
      <c r="I16" s="59"/>
      <c r="J16" s="59"/>
      <c r="K16" s="59"/>
      <c r="L16" s="59"/>
    </row>
    <row r="17" spans="1:12">
      <c r="A17" s="55" t="s">
        <v>7</v>
      </c>
      <c r="B17" s="56">
        <v>950</v>
      </c>
      <c r="C17" s="56">
        <v>78</v>
      </c>
      <c r="D17" s="40"/>
      <c r="E17" s="59"/>
      <c r="F17" s="60">
        <v>1</v>
      </c>
      <c r="G17" s="60"/>
      <c r="H17" s="60" t="s">
        <v>1</v>
      </c>
      <c r="I17" s="60">
        <v>7</v>
      </c>
      <c r="J17" s="60"/>
      <c r="K17" s="60" t="s">
        <v>95</v>
      </c>
      <c r="L17" s="59"/>
    </row>
    <row r="18" spans="1:12">
      <c r="A18" s="55" t="s">
        <v>8</v>
      </c>
      <c r="B18" s="56">
        <v>970</v>
      </c>
      <c r="C18" s="56">
        <v>73</v>
      </c>
      <c r="D18" s="40"/>
      <c r="E18" s="59"/>
      <c r="F18" s="60">
        <v>2</v>
      </c>
      <c r="G18" s="60"/>
      <c r="H18" s="60" t="s">
        <v>91</v>
      </c>
      <c r="I18" s="60">
        <v>8</v>
      </c>
      <c r="J18" s="60"/>
      <c r="K18" s="60" t="s">
        <v>96</v>
      </c>
      <c r="L18" s="59"/>
    </row>
    <row r="19" spans="1:12">
      <c r="A19" s="55" t="s">
        <v>9</v>
      </c>
      <c r="B19" s="56">
        <v>976</v>
      </c>
      <c r="C19" s="56">
        <v>75</v>
      </c>
      <c r="D19" s="40"/>
      <c r="E19" s="59"/>
      <c r="F19" s="60">
        <v>3</v>
      </c>
      <c r="G19" s="60"/>
      <c r="H19" s="60" t="s">
        <v>92</v>
      </c>
      <c r="I19" s="60">
        <v>9</v>
      </c>
      <c r="J19" s="60"/>
      <c r="K19" s="60" t="s">
        <v>4</v>
      </c>
      <c r="L19" s="59"/>
    </row>
    <row r="20" spans="1:12">
      <c r="A20" s="55" t="s">
        <v>10</v>
      </c>
      <c r="B20" s="56">
        <v>490</v>
      </c>
      <c r="C20" s="56">
        <v>24</v>
      </c>
      <c r="E20" s="59"/>
      <c r="F20" s="60">
        <v>4</v>
      </c>
      <c r="G20" s="60"/>
      <c r="H20" s="60" t="s">
        <v>2</v>
      </c>
      <c r="I20" s="60">
        <v>10</v>
      </c>
      <c r="J20" s="60"/>
      <c r="K20" s="60" t="s">
        <v>97</v>
      </c>
      <c r="L20" s="59"/>
    </row>
    <row r="21" spans="1:12">
      <c r="A21" s="55" t="s">
        <v>11</v>
      </c>
      <c r="B21" s="56">
        <v>1360</v>
      </c>
      <c r="C21" s="56">
        <v>104</v>
      </c>
      <c r="E21" s="59"/>
      <c r="F21" s="60">
        <v>5</v>
      </c>
      <c r="G21" s="60"/>
      <c r="H21" s="60" t="s">
        <v>93</v>
      </c>
      <c r="I21" s="60">
        <v>11</v>
      </c>
      <c r="J21" s="60"/>
      <c r="K21" s="60" t="s">
        <v>98</v>
      </c>
      <c r="L21" s="59"/>
    </row>
    <row r="22" spans="1:12">
      <c r="A22" s="55" t="s">
        <v>12</v>
      </c>
      <c r="B22" s="56">
        <v>574</v>
      </c>
      <c r="C22" s="56">
        <v>49</v>
      </c>
      <c r="E22" s="59"/>
      <c r="F22" s="60">
        <v>6</v>
      </c>
      <c r="G22" s="60"/>
      <c r="H22" s="60" t="s">
        <v>94</v>
      </c>
      <c r="I22" s="60">
        <v>12</v>
      </c>
      <c r="J22" s="60"/>
      <c r="K22" s="60" t="s">
        <v>99</v>
      </c>
      <c r="L22" s="59"/>
    </row>
    <row r="23" spans="1:12">
      <c r="A23" s="55" t="s">
        <v>13</v>
      </c>
      <c r="B23" s="56">
        <v>672</v>
      </c>
      <c r="C23" s="56">
        <v>54</v>
      </c>
      <c r="E23" s="59"/>
      <c r="F23" s="59"/>
      <c r="G23" s="59"/>
      <c r="H23" s="59"/>
      <c r="I23" s="59"/>
      <c r="J23" s="59"/>
      <c r="K23" s="59"/>
      <c r="L23" s="59"/>
    </row>
    <row r="24" spans="1:12">
      <c r="A24" s="55" t="s">
        <v>14</v>
      </c>
      <c r="B24" s="56">
        <v>930</v>
      </c>
      <c r="C24" s="56">
        <v>36</v>
      </c>
      <c r="E24" s="59"/>
      <c r="F24" s="59"/>
      <c r="G24" s="59"/>
      <c r="H24" s="59"/>
      <c r="I24" s="59"/>
      <c r="J24" s="59"/>
      <c r="K24" s="59"/>
      <c r="L24" s="59"/>
    </row>
    <row r="25" spans="1:12">
      <c r="A25" s="55" t="s">
        <v>15</v>
      </c>
      <c r="B25" s="56">
        <v>891</v>
      </c>
      <c r="C25" s="56">
        <v>50</v>
      </c>
      <c r="E25" s="59"/>
      <c r="F25" s="59"/>
      <c r="G25" s="59"/>
      <c r="H25" s="59"/>
      <c r="I25" s="59"/>
      <c r="J25" s="59"/>
      <c r="K25" s="59"/>
      <c r="L25" s="59"/>
    </row>
    <row r="26" spans="1:12" ht="15" thickBot="1">
      <c r="A26" s="57" t="s">
        <v>16</v>
      </c>
      <c r="B26" s="58">
        <v>390</v>
      </c>
      <c r="C26" s="58">
        <v>36</v>
      </c>
    </row>
  </sheetData>
  <pageMargins left="0.7" right="0.7" top="0.75" bottom="0.75" header="0.3" footer="0.3"/>
  <pageSetup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190" zoomScaleNormal="190" zoomScalePageLayoutView="190" workbookViewId="0">
      <selection activeCell="E16" sqref="E16"/>
    </sheetView>
  </sheetViews>
  <sheetFormatPr baseColWidth="10" defaultRowHeight="14" x14ac:dyDescent="0"/>
  <cols>
    <col min="1" max="1" width="21.1640625" customWidth="1"/>
  </cols>
  <sheetData>
    <row r="1" spans="1:8">
      <c r="B1" s="48" t="s">
        <v>17</v>
      </c>
      <c r="C1" s="48" t="s">
        <v>18</v>
      </c>
      <c r="D1" s="48" t="s">
        <v>19</v>
      </c>
      <c r="E1" s="48"/>
      <c r="F1" s="48"/>
    </row>
    <row r="2" spans="1:8">
      <c r="B2" s="62">
        <v>293</v>
      </c>
      <c r="C2" s="62">
        <v>396</v>
      </c>
      <c r="D2" s="62">
        <v>513</v>
      </c>
      <c r="E2" s="66" t="s">
        <v>104</v>
      </c>
      <c r="F2" s="48"/>
    </row>
    <row r="3" spans="1:8">
      <c r="B3" s="48"/>
      <c r="C3" s="48"/>
      <c r="D3" s="48"/>
      <c r="E3" s="48"/>
      <c r="F3" s="48"/>
    </row>
    <row r="4" spans="1:8" ht="15" thickBot="1">
      <c r="B4" s="48"/>
      <c r="C4" s="48"/>
      <c r="D4" s="48"/>
      <c r="E4" s="48"/>
      <c r="F4" s="48"/>
    </row>
    <row r="5" spans="1:8" ht="28"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</row>
    <row r="6" spans="1:8">
      <c r="A6" t="s">
        <v>80</v>
      </c>
      <c r="B6" s="48">
        <v>2</v>
      </c>
      <c r="C6" s="48">
        <v>12.5</v>
      </c>
      <c r="D6" s="48">
        <v>40</v>
      </c>
      <c r="E6" s="48">
        <v>8</v>
      </c>
      <c r="F6" s="48">
        <v>14</v>
      </c>
      <c r="G6" t="s">
        <v>131</v>
      </c>
      <c r="H6" t="s">
        <v>132</v>
      </c>
    </row>
    <row r="7" spans="1:8">
      <c r="A7" t="s">
        <v>81</v>
      </c>
      <c r="B7" s="48">
        <v>2</v>
      </c>
      <c r="C7" s="48">
        <v>8</v>
      </c>
      <c r="D7" s="48">
        <v>18</v>
      </c>
      <c r="E7" s="48">
        <v>4</v>
      </c>
      <c r="F7" s="48">
        <v>9</v>
      </c>
      <c r="G7">
        <f>SUM(B7:F7)</f>
        <v>41</v>
      </c>
      <c r="H7">
        <f>B24</f>
        <v>0</v>
      </c>
    </row>
    <row r="8" spans="1:8">
      <c r="A8" t="s">
        <v>79</v>
      </c>
      <c r="B8" s="48">
        <f>60/B6 *B7</f>
        <v>60</v>
      </c>
      <c r="C8" s="48">
        <f t="shared" ref="C8:F8" si="0">60/C6 *C7</f>
        <v>38.4</v>
      </c>
      <c r="D8" s="48">
        <f t="shared" si="0"/>
        <v>27</v>
      </c>
      <c r="E8" s="48">
        <f t="shared" si="0"/>
        <v>30</v>
      </c>
      <c r="F8" s="48">
        <f t="shared" si="0"/>
        <v>38.571428571428569</v>
      </c>
    </row>
    <row r="9" spans="1:8">
      <c r="A9" t="s">
        <v>82</v>
      </c>
      <c r="B9" s="49"/>
      <c r="C9" s="66"/>
      <c r="D9" s="48"/>
      <c r="E9" s="48"/>
      <c r="F9" s="48"/>
    </row>
    <row r="10" spans="1:8">
      <c r="A10" t="s">
        <v>83</v>
      </c>
      <c r="B10" s="48">
        <f>MIN(B8:F8)</f>
        <v>27</v>
      </c>
      <c r="C10" s="48"/>
      <c r="D10" s="48"/>
      <c r="E10" s="48"/>
      <c r="F10" s="48"/>
    </row>
    <row r="12" spans="1:8">
      <c r="A12" t="s">
        <v>85</v>
      </c>
      <c r="B12" s="48">
        <f>513/12</f>
        <v>42.75</v>
      </c>
    </row>
    <row r="13" spans="1:8">
      <c r="A13" t="s">
        <v>86</v>
      </c>
      <c r="B13">
        <f>MIN(B12,$B$10)</f>
        <v>27</v>
      </c>
    </row>
    <row r="14" spans="1:8">
      <c r="A14" t="s">
        <v>84</v>
      </c>
      <c r="B14" s="32">
        <f>$B$13/B$8</f>
        <v>0.45</v>
      </c>
      <c r="C14" s="32">
        <f t="shared" ref="C14:F14" si="1">$B$13/C$8</f>
        <v>0.703125</v>
      </c>
      <c r="D14" s="32">
        <f t="shared" si="1"/>
        <v>1</v>
      </c>
      <c r="E14" s="32">
        <f t="shared" si="1"/>
        <v>0.9</v>
      </c>
      <c r="F14" s="32">
        <f t="shared" si="1"/>
        <v>0.70000000000000007</v>
      </c>
    </row>
    <row r="16" spans="1:8">
      <c r="A16" t="s">
        <v>87</v>
      </c>
      <c r="B16" s="48"/>
    </row>
    <row r="17" spans="1:6">
      <c r="A17" t="s">
        <v>86</v>
      </c>
    </row>
    <row r="18" spans="1:6">
      <c r="A18" t="s">
        <v>84</v>
      </c>
      <c r="B18" s="32"/>
      <c r="C18" s="32"/>
      <c r="D18" s="32"/>
      <c r="E18" s="32"/>
      <c r="F18" s="32"/>
    </row>
    <row r="20" spans="1:6">
      <c r="A20" t="s">
        <v>88</v>
      </c>
      <c r="B20" s="61"/>
    </row>
    <row r="21" spans="1:6">
      <c r="A21" t="s">
        <v>86</v>
      </c>
    </row>
    <row r="22" spans="1:6">
      <c r="A22" t="s">
        <v>84</v>
      </c>
      <c r="B22" s="32"/>
      <c r="C22" s="32"/>
      <c r="D22" s="32"/>
      <c r="E22" s="32"/>
      <c r="F22" s="32"/>
    </row>
    <row r="24" spans="1:6">
      <c r="A24" t="s">
        <v>100</v>
      </c>
    </row>
    <row r="25" spans="1:6">
      <c r="A25" t="s">
        <v>105</v>
      </c>
      <c r="B25" s="32"/>
      <c r="C25" s="32"/>
      <c r="D25" s="32"/>
      <c r="E25" s="32"/>
      <c r="F25" s="32"/>
    </row>
    <row r="26" spans="1:6">
      <c r="A26" t="s">
        <v>106</v>
      </c>
      <c r="B26" s="3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PA(blank)</vt:lpstr>
      <vt:lpstr>costben</vt:lpstr>
      <vt:lpstr>ROIC tree Madureira</vt:lpstr>
      <vt:lpstr>Process analysis</vt:lpstr>
      <vt:lpstr>Sheet3</vt:lpstr>
      <vt:lpstr>blank</vt:lpstr>
    </vt:vector>
  </TitlesOfParts>
  <Company>Columbia Business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Pepa</dc:creator>
  <cp:lastModifiedBy>Marcelo Olivares</cp:lastModifiedBy>
  <cp:lastPrinted>2016-09-27T01:02:14Z</cp:lastPrinted>
  <dcterms:created xsi:type="dcterms:W3CDTF">2011-09-14T18:55:08Z</dcterms:created>
  <dcterms:modified xsi:type="dcterms:W3CDTF">2016-09-27T01:52:11Z</dcterms:modified>
</cp:coreProperties>
</file>