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eylareyespalma/Documents/Clases/MBA Minería/MBA Minería Año 2021/Clases Parte II/"/>
    </mc:Choice>
  </mc:AlternateContent>
  <xr:revisionPtr revIDLastSave="0" documentId="13_ncr:1_{7CA6E997-E0E3-584B-AC18-6D7E374ED4DC}" xr6:coauthVersionLast="47" xr6:coauthVersionMax="47" xr10:uidLastSave="{00000000-0000-0000-0000-000000000000}"/>
  <bookViews>
    <workbookView xWindow="0" yWindow="500" windowWidth="28800" windowHeight="16440" activeTab="1" xr2:uid="{640F9002-76D7-4034-9F3A-AF1FC54C24E4}"/>
  </bookViews>
  <sheets>
    <sheet name="Ratios" sheetId="3" r:id="rId1"/>
    <sheet name="Enunciado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6" i="3" l="1"/>
  <c r="I26" i="3"/>
  <c r="I28" i="3" s="1"/>
  <c r="I33" i="3" s="1"/>
  <c r="I41" i="3" s="1"/>
  <c r="I42" i="3" s="1"/>
  <c r="I39" i="3"/>
  <c r="L10" i="4"/>
  <c r="K10" i="4"/>
  <c r="J10" i="4"/>
  <c r="I10" i="4"/>
  <c r="H10" i="4"/>
  <c r="G10" i="4"/>
  <c r="F10" i="4"/>
  <c r="E10" i="4"/>
  <c r="D10" i="4"/>
  <c r="C10" i="4"/>
  <c r="E33" i="3" l="1"/>
  <c r="H14" i="3"/>
  <c r="E24" i="3"/>
  <c r="D24" i="3"/>
  <c r="C24" i="3"/>
  <c r="J3" i="3"/>
  <c r="O3" i="3" s="1"/>
  <c r="I3" i="3"/>
  <c r="H3" i="3"/>
  <c r="M3" i="3" s="1"/>
  <c r="N3" i="3" l="1"/>
  <c r="I24" i="3"/>
  <c r="M19" i="3"/>
  <c r="N19" i="3"/>
  <c r="J7" i="3"/>
  <c r="E13" i="3"/>
  <c r="E12" i="3"/>
  <c r="I19" i="3"/>
  <c r="C10" i="3"/>
  <c r="J6" i="3"/>
  <c r="E5" i="3"/>
  <c r="J18" i="3"/>
  <c r="J12" i="3"/>
  <c r="E32" i="3"/>
  <c r="H10" i="3"/>
  <c r="E26" i="3"/>
  <c r="C28" i="3"/>
  <c r="M30" i="3" s="1"/>
  <c r="I10" i="3"/>
  <c r="M14" i="3"/>
  <c r="D16" i="3"/>
  <c r="M15" i="3"/>
  <c r="D28" i="3"/>
  <c r="D31" i="3" s="1"/>
  <c r="D34" i="3" s="1"/>
  <c r="D36" i="3" s="1"/>
  <c r="E7" i="3"/>
  <c r="J5" i="3"/>
  <c r="N15" i="3"/>
  <c r="N12" i="3"/>
  <c r="N13" i="3" s="1"/>
  <c r="N14" i="3"/>
  <c r="E35" i="3"/>
  <c r="C16" i="3"/>
  <c r="E30" i="3"/>
  <c r="E6" i="3"/>
  <c r="M12" i="3"/>
  <c r="M13" i="3" s="1"/>
  <c r="E27" i="3"/>
  <c r="J16" i="3"/>
  <c r="H19" i="3"/>
  <c r="M32" i="3"/>
  <c r="J13" i="3"/>
  <c r="J17" i="3"/>
  <c r="N32" i="3"/>
  <c r="E29" i="3"/>
  <c r="I14" i="3"/>
  <c r="M18" i="3" l="1"/>
  <c r="M21" i="3"/>
  <c r="N21" i="3"/>
  <c r="N18" i="3"/>
  <c r="E8" i="3"/>
  <c r="C31" i="3"/>
  <c r="M29" i="3" s="1"/>
  <c r="M24" i="3" s="1"/>
  <c r="N30" i="3"/>
  <c r="O30" i="3" s="1"/>
  <c r="D10" i="3"/>
  <c r="J14" i="3"/>
  <c r="E16" i="3"/>
  <c r="E28" i="3"/>
  <c r="N9" i="3"/>
  <c r="O14" i="3"/>
  <c r="O15" i="3"/>
  <c r="M9" i="3"/>
  <c r="M6" i="3"/>
  <c r="M8" i="3"/>
  <c r="M7" i="3"/>
  <c r="H21" i="3"/>
  <c r="H15" i="3" s="1"/>
  <c r="J8" i="3"/>
  <c r="J10" i="3" s="1"/>
  <c r="O13" i="3"/>
  <c r="O32" i="3"/>
  <c r="O12" i="3"/>
  <c r="J19" i="3"/>
  <c r="C21" i="3"/>
  <c r="M10" i="3" s="1"/>
  <c r="E14" i="3"/>
  <c r="I21" i="3"/>
  <c r="I11" i="3" s="1"/>
  <c r="N29" i="3"/>
  <c r="C17" i="3" l="1"/>
  <c r="I15" i="3"/>
  <c r="H11" i="3"/>
  <c r="E10" i="3"/>
  <c r="C11" i="3"/>
  <c r="M33" i="3"/>
  <c r="O18" i="3"/>
  <c r="N6" i="3"/>
  <c r="O6" i="3" s="1"/>
  <c r="D21" i="3"/>
  <c r="D11" i="3" s="1"/>
  <c r="N8" i="3"/>
  <c r="O8" i="3" s="1"/>
  <c r="E31" i="3"/>
  <c r="C34" i="3"/>
  <c r="C36" i="3" s="1"/>
  <c r="M28" i="3" s="1"/>
  <c r="N7" i="3"/>
  <c r="O7" i="3" s="1"/>
  <c r="O9" i="3"/>
  <c r="O21" i="3"/>
  <c r="O19" i="3"/>
  <c r="J21" i="3"/>
  <c r="N33" i="3"/>
  <c r="N24" i="3"/>
  <c r="O24" i="3" s="1"/>
  <c r="O29" i="3"/>
  <c r="N28" i="3"/>
  <c r="M27" i="3" l="1"/>
  <c r="N10" i="3"/>
  <c r="O10" i="3" s="1"/>
  <c r="D17" i="3"/>
  <c r="O33" i="3"/>
  <c r="E21" i="3"/>
  <c r="E34" i="3"/>
  <c r="M26" i="3"/>
  <c r="N26" i="3"/>
  <c r="O28" i="3"/>
  <c r="E36" i="3"/>
  <c r="N27" i="3"/>
  <c r="O27" i="3" l="1"/>
  <c r="O26" i="3"/>
</calcChain>
</file>

<file path=xl/sharedStrings.xml><?xml version="1.0" encoding="utf-8"?>
<sst xmlns="http://schemas.openxmlformats.org/spreadsheetml/2006/main" count="124" uniqueCount="117">
  <si>
    <t>Costo de Ventas</t>
  </si>
  <si>
    <t>(cifras aproximadas - sólo para fines didácticos)</t>
  </si>
  <si>
    <t>ACTIVOS MUS$</t>
  </si>
  <si>
    <t>Liquidez</t>
  </si>
  <si>
    <t>Disponible</t>
  </si>
  <si>
    <t>Pasivos financieros corrientes</t>
  </si>
  <si>
    <t>Razón Corriente</t>
  </si>
  <si>
    <t>Cuentas por Cobrar</t>
  </si>
  <si>
    <t>Proveedores</t>
  </si>
  <si>
    <t>Test Acido</t>
  </si>
  <si>
    <t>Inventarios, corrientes</t>
  </si>
  <si>
    <t>Capital de Trabajo</t>
  </si>
  <si>
    <t>$</t>
  </si>
  <si>
    <t>Otros Activos Circulantes</t>
  </si>
  <si>
    <t>Otros Pasivos Circulantes</t>
  </si>
  <si>
    <t>Razón de Tesorería</t>
  </si>
  <si>
    <t>Fondo maniobra/Activos</t>
  </si>
  <si>
    <t>Sub-Total Activo Corriente</t>
  </si>
  <si>
    <t>Sub-Total Pasivo Corriente</t>
  </si>
  <si>
    <t>Rotación de Existencias</t>
  </si>
  <si>
    <t>veces</t>
  </si>
  <si>
    <t>Permanencia de Existencias</t>
  </si>
  <si>
    <t>días</t>
  </si>
  <si>
    <t>Propiedad, planta y equipo</t>
  </si>
  <si>
    <t>Pasivos financieros no corrientes</t>
  </si>
  <si>
    <t>Permanencia CxC</t>
  </si>
  <si>
    <t>Inversiones en Empresas</t>
  </si>
  <si>
    <t>Otros Pasivos Largo Plazo</t>
  </si>
  <si>
    <t>Permanencia CxP</t>
  </si>
  <si>
    <t>Otros Activos Largo Plazo</t>
  </si>
  <si>
    <t>Sub-Total Pasivo No Corriente</t>
  </si>
  <si>
    <t>Endeudamiento</t>
  </si>
  <si>
    <t>Sub-Total Activo No Corriente</t>
  </si>
  <si>
    <t>Capital y Reservas</t>
  </si>
  <si>
    <t>Utilidad del Ejercicio</t>
  </si>
  <si>
    <t>Sub-Total Patrimonio</t>
  </si>
  <si>
    <t>Rentabilidad</t>
  </si>
  <si>
    <t>TOTAL ACTIVOS</t>
  </si>
  <si>
    <t>EBITDA</t>
  </si>
  <si>
    <t>Ingreso Actividades Ordinarias</t>
  </si>
  <si>
    <t>Margen Bruto</t>
  </si>
  <si>
    <t>Depreciación y Amortización</t>
  </si>
  <si>
    <t>Resultado Operacional</t>
  </si>
  <si>
    <t>Resultado Antes Impuestos</t>
  </si>
  <si>
    <t>Impuestos</t>
  </si>
  <si>
    <t>2020</t>
  </si>
  <si>
    <t>Gastos Financieros Netos</t>
  </si>
  <si>
    <t>Provisiones y Retenciones, corriente</t>
  </si>
  <si>
    <t>Utilidades (Pérdidas) Acumuladas</t>
  </si>
  <si>
    <t>Participación no controladoras</t>
  </si>
  <si>
    <t>Deuda Financiera/EBITDA</t>
  </si>
  <si>
    <t>Cobertura de Gastos</t>
  </si>
  <si>
    <t>Ratio de Eficiencia</t>
  </si>
  <si>
    <t>RATIOS FINANCIEROS</t>
  </si>
  <si>
    <t>veces/año</t>
  </si>
  <si>
    <t>ROA - sobre Activos</t>
  </si>
  <si>
    <t>ROE - sobre Patrimonio</t>
  </si>
  <si>
    <t>ROS - sobre Ventas</t>
  </si>
  <si>
    <t>RATIOS FINANCIEROS CODELCO 2019 - 2020</t>
  </si>
  <si>
    <t>RESULTADOS MUS$</t>
  </si>
  <si>
    <t>Cobertura de Costos Explotación</t>
  </si>
  <si>
    <t>Gastos Administración y Ventas</t>
  </si>
  <si>
    <t>Otros Resultados No Operacionales</t>
  </si>
  <si>
    <t>TOTAL PASIVOS Y PATRIMONIO</t>
  </si>
  <si>
    <t>PASIVOS Y PATRIMONIO MUS$</t>
  </si>
  <si>
    <t>Cobertura Ebitda a Intereses</t>
  </si>
  <si>
    <t>Actividad (base 265 días)</t>
  </si>
  <si>
    <t>Leverage (Pasivo/Patrimonio)</t>
  </si>
  <si>
    <t>% Largo Plazo Total Pasivos</t>
  </si>
  <si>
    <t>% Largo Plazo Deuda Financiera</t>
  </si>
  <si>
    <t>2021</t>
  </si>
  <si>
    <t>21-20</t>
  </si>
  <si>
    <t>Grupo 1</t>
  </si>
  <si>
    <t>Grupo 2</t>
  </si>
  <si>
    <t>Grupo 3</t>
  </si>
  <si>
    <t>Grupo 4</t>
  </si>
  <si>
    <t>Grupo 5</t>
  </si>
  <si>
    <t>Grupo 6</t>
  </si>
  <si>
    <t>Grupo 7</t>
  </si>
  <si>
    <t>Grupo 8</t>
  </si>
  <si>
    <t>Grupo 9</t>
  </si>
  <si>
    <t>Grupo 10</t>
  </si>
  <si>
    <t>Principales supuestos de proyección 2021</t>
  </si>
  <si>
    <t>Sistemas de Control Empresarial - CTP # 3</t>
  </si>
  <si>
    <t>Aumento (disminución) de ingresos por mayor (menor) producción y ventas en MUS$</t>
  </si>
  <si>
    <t>Aumento de ingresos atribuible al mayor precio del Cobre (MUS$)</t>
  </si>
  <si>
    <t>Aumento de gastos operacionales proyectado para 2021</t>
  </si>
  <si>
    <t>1.</t>
  </si>
  <si>
    <t>2.</t>
  </si>
  <si>
    <t>3.</t>
  </si>
  <si>
    <t>4.</t>
  </si>
  <si>
    <t>5.</t>
  </si>
  <si>
    <t>6.</t>
  </si>
  <si>
    <t>Las cuentas por cobrar crecen proporcionalmente a los ingresos totales</t>
  </si>
  <si>
    <t>Los inventarios y cuentas por pagar crecen proporcionalmente al costo de ventas.</t>
  </si>
  <si>
    <t>Se hace un aumento de capital de 5.000 MUS$ para prepagar deuda de largo plazo por 4.000 MUS$ y adquirir una mayor participación en otras sociedades por 1.000 MUS$.</t>
  </si>
  <si>
    <t>7.</t>
  </si>
  <si>
    <t>FLUJO DE CAJA MUS$</t>
  </si>
  <si>
    <t>Flujo de Caja Operacional Bruto</t>
  </si>
  <si>
    <t>Más: depreciaciones y amortizaciones</t>
  </si>
  <si>
    <t>Otras variaciones capital de trabajo</t>
  </si>
  <si>
    <t>Flujo de Caja Inversiones</t>
  </si>
  <si>
    <t>Inversiones Propiedad, Planta y Equipo</t>
  </si>
  <si>
    <t>Otras Inversiones, neto</t>
  </si>
  <si>
    <t>Flujo de Caja Financiamiento</t>
  </si>
  <si>
    <t>Saldo Final de Efectivo y Equivalente</t>
  </si>
  <si>
    <t>TOTAL FLUJO DE CAJA PERÍODO</t>
  </si>
  <si>
    <t>A) Se pide proyectar el Estado de Situación Financiera 2021 y el Estado de Resultados 2021, partiendo de los supuestos indicados para cada Grupo.</t>
  </si>
  <si>
    <t>C) A partir de estas proyecciones, comentar brevemente acerca de la situación financiera y económica de la empresa en 2021 respecto de 2020.</t>
  </si>
  <si>
    <t>8.</t>
  </si>
  <si>
    <t>Todos los ingresos adicionales de (2) se destinan a prepagar deuda de largo plazo.</t>
  </si>
  <si>
    <t>B) Preparar el Estado de Flujo de Efectivo para el año 2021.</t>
  </si>
  <si>
    <t>Aumentos (reducciones) de Capital</t>
  </si>
  <si>
    <t>Aumento (reducción) de Deuda Financiera</t>
  </si>
  <si>
    <t>Flujo por Variación Cuentas por Cobrar</t>
  </si>
  <si>
    <t>Flujo por Variación Cuentas por Pagar</t>
  </si>
  <si>
    <t>Flujo por Variación Existencias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</si>
</sst>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_ ;[Red]\-#,##0\ "/>
    <numFmt numFmtId="165" formatCode="0.0"/>
    <numFmt numFmtId="166" formatCode="0.0%"/>
    <numFmt numFmtId="167" formatCode="#,##0.0_ ;[Red]\-#,##0.0\ "/>
    <numFmt numFmtId="168" formatCode="#,##0.00_ ;[Red]\-#,##0.00\ "/>
  </numFmts>
  <fonts count="2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4"/>
      <name val="Arial"/>
      <family val="2"/>
    </font>
    <font>
      <sz val="11"/>
      <name val="Arial"/>
      <family val="2"/>
    </font>
    <font>
      <sz val="8"/>
      <color theme="4"/>
      <name val="Arial"/>
      <family val="2"/>
    </font>
    <font>
      <b/>
      <sz val="11"/>
      <name val="Arial"/>
      <family val="2"/>
    </font>
    <font>
      <b/>
      <sz val="11"/>
      <color indexed="56"/>
      <name val="Arial"/>
      <family val="2"/>
    </font>
    <font>
      <sz val="10"/>
      <color indexed="56"/>
      <name val="Arial"/>
      <family val="2"/>
    </font>
    <font>
      <b/>
      <sz val="10"/>
      <color indexed="56"/>
      <name val="Arial"/>
      <family val="2"/>
    </font>
    <font>
      <b/>
      <sz val="11"/>
      <color indexed="18"/>
      <name val="Arial"/>
      <family val="2"/>
    </font>
    <font>
      <sz val="9"/>
      <name val="Arial"/>
      <family val="2"/>
    </font>
    <font>
      <sz val="9"/>
      <color theme="3" tint="0.39997558519241921"/>
      <name val="Arial"/>
      <family val="2"/>
    </font>
    <font>
      <b/>
      <u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/>
      <top/>
      <bottom style="medium">
        <color theme="4" tint="-0.2499465926084170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/>
    <xf numFmtId="0" fontId="7" fillId="0" borderId="0" xfId="0" applyFont="1"/>
    <xf numFmtId="164" fontId="8" fillId="0" borderId="0" xfId="0" applyNumberFormat="1" applyFont="1"/>
    <xf numFmtId="164" fontId="8" fillId="0" borderId="8" xfId="0" applyNumberFormat="1" applyFont="1" applyBorder="1"/>
    <xf numFmtId="0" fontId="9" fillId="0" borderId="0" xfId="0" applyFont="1" applyAlignment="1">
      <alignment vertical="top"/>
    </xf>
    <xf numFmtId="0" fontId="8" fillId="0" borderId="12" xfId="0" applyFont="1" applyBorder="1"/>
    <xf numFmtId="0" fontId="11" fillId="0" borderId="0" xfId="0" applyFont="1"/>
    <xf numFmtId="0" fontId="12" fillId="0" borderId="0" xfId="0" applyFont="1"/>
    <xf numFmtId="164" fontId="8" fillId="0" borderId="13" xfId="0" applyNumberFormat="1" applyFont="1" applyBorder="1"/>
    <xf numFmtId="0" fontId="10" fillId="0" borderId="12" xfId="0" applyFont="1" applyBorder="1"/>
    <xf numFmtId="164" fontId="10" fillId="0" borderId="0" xfId="0" applyNumberFormat="1" applyFont="1"/>
    <xf numFmtId="0" fontId="12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164" fontId="14" fillId="0" borderId="0" xfId="0" applyNumberFormat="1" applyFont="1"/>
    <xf numFmtId="0" fontId="10" fillId="0" borderId="0" xfId="0" applyFont="1" applyAlignment="1">
      <alignment horizontal="right"/>
    </xf>
    <xf numFmtId="2" fontId="10" fillId="0" borderId="0" xfId="0" applyNumberFormat="1" applyFont="1" applyAlignment="1">
      <alignment horizontal="center"/>
    </xf>
    <xf numFmtId="164" fontId="15" fillId="0" borderId="0" xfId="0" applyNumberFormat="1" applyFont="1"/>
    <xf numFmtId="164" fontId="8" fillId="0" borderId="16" xfId="0" applyNumberFormat="1" applyFont="1" applyBorder="1"/>
    <xf numFmtId="0" fontId="0" fillId="0" borderId="3" xfId="0" applyBorder="1" applyAlignment="1">
      <alignment horizontal="left"/>
    </xf>
    <xf numFmtId="164" fontId="8" fillId="0" borderId="15" xfId="0" applyNumberFormat="1" applyFont="1" applyBorder="1"/>
    <xf numFmtId="164" fontId="12" fillId="0" borderId="0" xfId="0" applyNumberFormat="1" applyFont="1" applyAlignment="1">
      <alignment horizontal="center"/>
    </xf>
    <xf numFmtId="164" fontId="8" fillId="0" borderId="0" xfId="0" applyNumberFormat="1" applyFont="1" applyBorder="1"/>
    <xf numFmtId="164" fontId="10" fillId="0" borderId="0" xfId="0" applyNumberFormat="1" applyFont="1" applyBorder="1"/>
    <xf numFmtId="164" fontId="10" fillId="2" borderId="18" xfId="0" quotePrefix="1" applyNumberFormat="1" applyFont="1" applyFill="1" applyBorder="1" applyAlignment="1">
      <alignment horizontal="right"/>
    </xf>
    <xf numFmtId="164" fontId="8" fillId="2" borderId="5" xfId="0" applyNumberFormat="1" applyFont="1" applyFill="1" applyBorder="1"/>
    <xf numFmtId="164" fontId="8" fillId="2" borderId="14" xfId="0" applyNumberFormat="1" applyFont="1" applyFill="1" applyBorder="1"/>
    <xf numFmtId="164" fontId="10" fillId="2" borderId="5" xfId="0" applyNumberFormat="1" applyFont="1" applyFill="1" applyBorder="1"/>
    <xf numFmtId="164" fontId="10" fillId="2" borderId="2" xfId="0" applyNumberFormat="1" applyFont="1" applyFill="1" applyBorder="1"/>
    <xf numFmtId="164" fontId="8" fillId="2" borderId="4" xfId="0" applyNumberFormat="1" applyFont="1" applyFill="1" applyBorder="1"/>
    <xf numFmtId="164" fontId="10" fillId="2" borderId="11" xfId="0" quotePrefix="1" applyNumberFormat="1" applyFont="1" applyFill="1" applyBorder="1" applyAlignment="1">
      <alignment horizontal="right"/>
    </xf>
    <xf numFmtId="164" fontId="8" fillId="2" borderId="2" xfId="0" applyNumberFormat="1" applyFont="1" applyFill="1" applyBorder="1"/>
    <xf numFmtId="164" fontId="8" fillId="2" borderId="17" xfId="0" applyNumberFormat="1" applyFont="1" applyFill="1" applyBorder="1"/>
    <xf numFmtId="0" fontId="10" fillId="0" borderId="0" xfId="0" applyFont="1" applyFill="1" applyBorder="1"/>
    <xf numFmtId="164" fontId="10" fillId="0" borderId="0" xfId="0" quotePrefix="1" applyNumberFormat="1" applyFont="1" applyFill="1" applyBorder="1" applyAlignment="1">
      <alignment horizontal="right"/>
    </xf>
    <xf numFmtId="0" fontId="10" fillId="3" borderId="9" xfId="0" applyFont="1" applyFill="1" applyBorder="1"/>
    <xf numFmtId="164" fontId="10" fillId="3" borderId="10" xfId="0" quotePrefix="1" applyNumberFormat="1" applyFont="1" applyFill="1" applyBorder="1" applyAlignment="1">
      <alignment horizontal="right"/>
    </xf>
    <xf numFmtId="0" fontId="10" fillId="3" borderId="1" xfId="0" applyFont="1" applyFill="1" applyBorder="1"/>
    <xf numFmtId="164" fontId="10" fillId="3" borderId="8" xfId="0" applyNumberFormat="1" applyFont="1" applyFill="1" applyBorder="1"/>
    <xf numFmtId="0" fontId="8" fillId="3" borderId="3" xfId="0" applyFont="1" applyFill="1" applyBorder="1"/>
    <xf numFmtId="164" fontId="8" fillId="3" borderId="15" xfId="0" applyNumberFormat="1" applyFont="1" applyFill="1" applyBorder="1"/>
    <xf numFmtId="164" fontId="10" fillId="3" borderId="11" xfId="0" quotePrefix="1" applyNumberFormat="1" applyFont="1" applyFill="1" applyBorder="1" applyAlignment="1">
      <alignment horizontal="right"/>
    </xf>
    <xf numFmtId="164" fontId="11" fillId="2" borderId="19" xfId="0" applyNumberFormat="1" applyFont="1" applyFill="1" applyBorder="1" applyAlignment="1">
      <alignment horizontal="center"/>
    </xf>
    <xf numFmtId="166" fontId="13" fillId="2" borderId="19" xfId="1" applyNumberFormat="1" applyFont="1" applyFill="1" applyBorder="1" applyAlignment="1">
      <alignment horizontal="center"/>
    </xf>
    <xf numFmtId="0" fontId="11" fillId="3" borderId="20" xfId="0" applyFont="1" applyFill="1" applyBorder="1"/>
    <xf numFmtId="164" fontId="11" fillId="3" borderId="20" xfId="0" applyNumberFormat="1" applyFont="1" applyFill="1" applyBorder="1" applyAlignment="1">
      <alignment horizontal="center"/>
    </xf>
    <xf numFmtId="166" fontId="13" fillId="3" borderId="20" xfId="1" applyNumberFormat="1" applyFont="1" applyFill="1" applyBorder="1" applyAlignment="1">
      <alignment horizontal="center"/>
    </xf>
    <xf numFmtId="167" fontId="11" fillId="2" borderId="19" xfId="0" applyNumberFormat="1" applyFont="1" applyFill="1" applyBorder="1" applyAlignment="1">
      <alignment horizontal="center"/>
    </xf>
    <xf numFmtId="165" fontId="11" fillId="3" borderId="20" xfId="0" applyNumberFormat="1" applyFont="1" applyFill="1" applyBorder="1" applyAlignment="1">
      <alignment horizontal="center"/>
    </xf>
    <xf numFmtId="1" fontId="11" fillId="3" borderId="20" xfId="0" applyNumberFormat="1" applyFont="1" applyFill="1" applyBorder="1" applyAlignment="1">
      <alignment horizontal="center"/>
    </xf>
    <xf numFmtId="166" fontId="13" fillId="2" borderId="19" xfId="1" applyNumberFormat="1" applyFont="1" applyFill="1" applyBorder="1" applyAlignment="1">
      <alignment horizontal="center" vertical="center"/>
    </xf>
    <xf numFmtId="164" fontId="11" fillId="2" borderId="19" xfId="0" applyNumberFormat="1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vertical="center"/>
    </xf>
    <xf numFmtId="166" fontId="13" fillId="3" borderId="20" xfId="1" applyNumberFormat="1" applyFont="1" applyFill="1" applyBorder="1" applyAlignment="1">
      <alignment horizontal="center" vertical="center"/>
    </xf>
    <xf numFmtId="164" fontId="11" fillId="3" borderId="20" xfId="0" applyNumberFormat="1" applyFont="1" applyFill="1" applyBorder="1" applyAlignment="1">
      <alignment horizontal="center" vertical="center"/>
    </xf>
    <xf numFmtId="0" fontId="11" fillId="3" borderId="21" xfId="0" applyFont="1" applyFill="1" applyBorder="1"/>
    <xf numFmtId="168" fontId="11" fillId="2" borderId="22" xfId="0" applyNumberFormat="1" applyFont="1" applyFill="1" applyBorder="1" applyAlignment="1">
      <alignment horizontal="center"/>
    </xf>
    <xf numFmtId="165" fontId="11" fillId="3" borderId="21" xfId="0" applyNumberFormat="1" applyFont="1" applyFill="1" applyBorder="1" applyAlignment="1">
      <alignment horizontal="center"/>
    </xf>
    <xf numFmtId="0" fontId="11" fillId="3" borderId="21" xfId="0" applyFont="1" applyFill="1" applyBorder="1" applyAlignment="1">
      <alignment vertical="center"/>
    </xf>
    <xf numFmtId="166" fontId="13" fillId="3" borderId="21" xfId="1" applyNumberFormat="1" applyFont="1" applyFill="1" applyBorder="1" applyAlignment="1">
      <alignment horizontal="center" vertical="center"/>
    </xf>
    <xf numFmtId="166" fontId="13" fillId="2" borderId="22" xfId="1" applyNumberFormat="1" applyFont="1" applyFill="1" applyBorder="1" applyAlignment="1">
      <alignment horizontal="center" vertical="center"/>
    </xf>
    <xf numFmtId="1" fontId="11" fillId="3" borderId="21" xfId="0" applyNumberFormat="1" applyFont="1" applyFill="1" applyBorder="1" applyAlignment="1">
      <alignment horizontal="center" vertical="center"/>
    </xf>
    <xf numFmtId="167" fontId="11" fillId="2" borderId="22" xfId="0" applyNumberFormat="1" applyFont="1" applyFill="1" applyBorder="1" applyAlignment="1">
      <alignment horizontal="center" vertical="center"/>
    </xf>
    <xf numFmtId="0" fontId="11" fillId="0" borderId="23" xfId="0" applyFont="1" applyBorder="1"/>
    <xf numFmtId="0" fontId="12" fillId="0" borderId="23" xfId="0" applyFont="1" applyBorder="1"/>
    <xf numFmtId="2" fontId="11" fillId="2" borderId="22" xfId="0" applyNumberFormat="1" applyFont="1" applyFill="1" applyBorder="1" applyAlignment="1">
      <alignment horizontal="center"/>
    </xf>
    <xf numFmtId="2" fontId="11" fillId="2" borderId="19" xfId="0" applyNumberFormat="1" applyFont="1" applyFill="1" applyBorder="1" applyAlignment="1">
      <alignment horizontal="center"/>
    </xf>
    <xf numFmtId="167" fontId="13" fillId="0" borderId="0" xfId="0" applyNumberFormat="1" applyFont="1"/>
    <xf numFmtId="166" fontId="16" fillId="0" borderId="0" xfId="1" applyNumberFormat="1" applyFont="1" applyAlignment="1">
      <alignment vertical="top"/>
    </xf>
    <xf numFmtId="0" fontId="13" fillId="0" borderId="0" xfId="0" applyFont="1" applyFill="1"/>
    <xf numFmtId="0" fontId="0" fillId="0" borderId="0" xfId="0" applyFill="1"/>
    <xf numFmtId="0" fontId="12" fillId="0" borderId="0" xfId="0" applyFont="1" applyFill="1"/>
    <xf numFmtId="0" fontId="13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2" fontId="11" fillId="3" borderId="21" xfId="0" applyNumberFormat="1" applyFont="1" applyFill="1" applyBorder="1" applyAlignment="1">
      <alignment horizontal="center"/>
    </xf>
    <xf numFmtId="2" fontId="11" fillId="3" borderId="20" xfId="0" applyNumberFormat="1" applyFont="1" applyFill="1" applyBorder="1" applyAlignment="1">
      <alignment horizontal="center"/>
    </xf>
    <xf numFmtId="2" fontId="11" fillId="3" borderId="20" xfId="0" applyNumberFormat="1" applyFont="1" applyFill="1" applyBorder="1" applyAlignment="1">
      <alignment horizontal="center" vertical="center"/>
    </xf>
    <xf numFmtId="2" fontId="11" fillId="2" borderId="19" xfId="0" applyNumberFormat="1" applyFont="1" applyFill="1" applyBorder="1" applyAlignment="1">
      <alignment horizontal="center" vertical="center"/>
    </xf>
    <xf numFmtId="166" fontId="11" fillId="2" borderId="22" xfId="1" applyNumberFormat="1" applyFont="1" applyFill="1" applyBorder="1" applyAlignment="1">
      <alignment horizontal="center"/>
    </xf>
    <xf numFmtId="166" fontId="11" fillId="2" borderId="19" xfId="1" applyNumberFormat="1" applyFont="1" applyFill="1" applyBorder="1" applyAlignment="1">
      <alignment horizontal="center"/>
    </xf>
    <xf numFmtId="9" fontId="11" fillId="3" borderId="21" xfId="1" applyNumberFormat="1" applyFont="1" applyFill="1" applyBorder="1" applyAlignment="1">
      <alignment horizontal="center"/>
    </xf>
    <xf numFmtId="9" fontId="11" fillId="3" borderId="20" xfId="1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7" fillId="0" borderId="0" xfId="0" applyFont="1"/>
    <xf numFmtId="0" fontId="0" fillId="0" borderId="0" xfId="0" applyAlignment="1">
      <alignment vertical="top" wrapText="1"/>
    </xf>
    <xf numFmtId="0" fontId="4" fillId="0" borderId="0" xfId="0" applyFont="1" applyAlignment="1">
      <alignment vertical="top" wrapText="1"/>
    </xf>
    <xf numFmtId="166" fontId="0" fillId="0" borderId="0" xfId="0" applyNumberFormat="1" applyAlignment="1">
      <alignment horizontal="center" vertical="top" wrapText="1"/>
    </xf>
    <xf numFmtId="0" fontId="3" fillId="0" borderId="7" xfId="0" applyFont="1" applyBorder="1" applyAlignment="1">
      <alignment horizontal="left"/>
    </xf>
    <xf numFmtId="0" fontId="18" fillId="0" borderId="0" xfId="0" applyFont="1" applyAlignment="1">
      <alignment horizontal="center" vertical="top"/>
    </xf>
    <xf numFmtId="0" fontId="0" fillId="0" borderId="15" xfId="0" applyBorder="1"/>
    <xf numFmtId="164" fontId="0" fillId="0" borderId="0" xfId="0" applyNumberFormat="1" applyAlignment="1">
      <alignment horizontal="center" vertical="top" wrapText="1"/>
    </xf>
    <xf numFmtId="0" fontId="18" fillId="0" borderId="7" xfId="0" applyFont="1" applyBorder="1" applyAlignment="1">
      <alignment horizontal="center"/>
    </xf>
    <xf numFmtId="164" fontId="8" fillId="0" borderId="24" xfId="0" applyNumberFormat="1" applyFont="1" applyBorder="1"/>
    <xf numFmtId="164" fontId="8" fillId="0" borderId="25" xfId="0" applyNumberFormat="1" applyFont="1" applyBorder="1"/>
    <xf numFmtId="164" fontId="10" fillId="0" borderId="24" xfId="0" applyNumberFormat="1" applyFont="1" applyBorder="1"/>
    <xf numFmtId="0" fontId="3" fillId="0" borderId="3" xfId="0" applyFont="1" applyBorder="1" applyAlignment="1">
      <alignment horizontal="left"/>
    </xf>
    <xf numFmtId="164" fontId="10" fillId="0" borderId="15" xfId="0" applyNumberFormat="1" applyFont="1" applyBorder="1"/>
    <xf numFmtId="164" fontId="10" fillId="0" borderId="6" xfId="0" applyNumberFormat="1" applyFont="1" applyBorder="1"/>
    <xf numFmtId="0" fontId="1" fillId="0" borderId="0" xfId="0" applyFont="1"/>
    <xf numFmtId="0" fontId="19" fillId="0" borderId="12" xfId="0" applyFont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16F43-7C4E-4264-9DCD-79BA26B9AEC0}">
  <dimension ref="A1:P42"/>
  <sheetViews>
    <sheetView showGridLines="0" zoomScale="80" zoomScaleNormal="80" workbookViewId="0">
      <pane ySplit="3" topLeftCell="A4" activePane="bottomLeft" state="frozen"/>
      <selection pane="bottomLeft" activeCell="C16" sqref="C16"/>
    </sheetView>
  </sheetViews>
  <sheetFormatPr baseColWidth="10" defaultRowHeight="16" x14ac:dyDescent="0.2"/>
  <cols>
    <col min="1" max="1" width="1.83203125" style="3" customWidth="1"/>
    <col min="2" max="2" width="31.5" customWidth="1"/>
    <col min="3" max="4" width="9.83203125" style="3" customWidth="1"/>
    <col min="5" max="5" width="8" style="3" customWidth="1"/>
    <col min="6" max="6" width="1.83203125" style="3" customWidth="1"/>
    <col min="7" max="7" width="32.5" customWidth="1"/>
    <col min="8" max="9" width="9.83203125" style="3" customWidth="1"/>
    <col min="10" max="10" width="7.33203125" style="3" customWidth="1"/>
    <col min="11" max="11" width="1.1640625" customWidth="1"/>
    <col min="12" max="12" width="31.1640625" customWidth="1"/>
    <col min="13" max="14" width="7.33203125" customWidth="1"/>
    <col min="15" max="15" width="7.1640625" customWidth="1"/>
    <col min="16" max="16" width="9" bestFit="1" customWidth="1"/>
    <col min="258" max="258" width="27.83203125" customWidth="1"/>
    <col min="259" max="260" width="9.83203125" customWidth="1"/>
    <col min="261" max="261" width="8" customWidth="1"/>
    <col min="262" max="262" width="1.83203125" customWidth="1"/>
    <col min="263" max="263" width="29.6640625" customWidth="1"/>
    <col min="264" max="265" width="9.83203125" customWidth="1"/>
    <col min="266" max="266" width="7.33203125" customWidth="1"/>
    <col min="267" max="267" width="1.1640625" customWidth="1"/>
    <col min="268" max="268" width="26.6640625" customWidth="1"/>
    <col min="269" max="270" width="7.33203125" customWidth="1"/>
    <col min="271" max="271" width="7.1640625" customWidth="1"/>
    <col min="514" max="514" width="27.83203125" customWidth="1"/>
    <col min="515" max="516" width="9.83203125" customWidth="1"/>
    <col min="517" max="517" width="8" customWidth="1"/>
    <col min="518" max="518" width="1.83203125" customWidth="1"/>
    <col min="519" max="519" width="29.6640625" customWidth="1"/>
    <col min="520" max="521" width="9.83203125" customWidth="1"/>
    <col min="522" max="522" width="7.33203125" customWidth="1"/>
    <col min="523" max="523" width="1.1640625" customWidth="1"/>
    <col min="524" max="524" width="26.6640625" customWidth="1"/>
    <col min="525" max="526" width="7.33203125" customWidth="1"/>
    <col min="527" max="527" width="7.1640625" customWidth="1"/>
    <col min="770" max="770" width="27.83203125" customWidth="1"/>
    <col min="771" max="772" width="9.83203125" customWidth="1"/>
    <col min="773" max="773" width="8" customWidth="1"/>
    <col min="774" max="774" width="1.83203125" customWidth="1"/>
    <col min="775" max="775" width="29.6640625" customWidth="1"/>
    <col min="776" max="777" width="9.83203125" customWidth="1"/>
    <col min="778" max="778" width="7.33203125" customWidth="1"/>
    <col min="779" max="779" width="1.1640625" customWidth="1"/>
    <col min="780" max="780" width="26.6640625" customWidth="1"/>
    <col min="781" max="782" width="7.33203125" customWidth="1"/>
    <col min="783" max="783" width="7.1640625" customWidth="1"/>
    <col min="1026" max="1026" width="27.83203125" customWidth="1"/>
    <col min="1027" max="1028" width="9.83203125" customWidth="1"/>
    <col min="1029" max="1029" width="8" customWidth="1"/>
    <col min="1030" max="1030" width="1.83203125" customWidth="1"/>
    <col min="1031" max="1031" width="29.6640625" customWidth="1"/>
    <col min="1032" max="1033" width="9.83203125" customWidth="1"/>
    <col min="1034" max="1034" width="7.33203125" customWidth="1"/>
    <col min="1035" max="1035" width="1.1640625" customWidth="1"/>
    <col min="1036" max="1036" width="26.6640625" customWidth="1"/>
    <col min="1037" max="1038" width="7.33203125" customWidth="1"/>
    <col min="1039" max="1039" width="7.1640625" customWidth="1"/>
    <col min="1282" max="1282" width="27.83203125" customWidth="1"/>
    <col min="1283" max="1284" width="9.83203125" customWidth="1"/>
    <col min="1285" max="1285" width="8" customWidth="1"/>
    <col min="1286" max="1286" width="1.83203125" customWidth="1"/>
    <col min="1287" max="1287" width="29.6640625" customWidth="1"/>
    <col min="1288" max="1289" width="9.83203125" customWidth="1"/>
    <col min="1290" max="1290" width="7.33203125" customWidth="1"/>
    <col min="1291" max="1291" width="1.1640625" customWidth="1"/>
    <col min="1292" max="1292" width="26.6640625" customWidth="1"/>
    <col min="1293" max="1294" width="7.33203125" customWidth="1"/>
    <col min="1295" max="1295" width="7.1640625" customWidth="1"/>
    <col min="1538" max="1538" width="27.83203125" customWidth="1"/>
    <col min="1539" max="1540" width="9.83203125" customWidth="1"/>
    <col min="1541" max="1541" width="8" customWidth="1"/>
    <col min="1542" max="1542" width="1.83203125" customWidth="1"/>
    <col min="1543" max="1543" width="29.6640625" customWidth="1"/>
    <col min="1544" max="1545" width="9.83203125" customWidth="1"/>
    <col min="1546" max="1546" width="7.33203125" customWidth="1"/>
    <col min="1547" max="1547" width="1.1640625" customWidth="1"/>
    <col min="1548" max="1548" width="26.6640625" customWidth="1"/>
    <col min="1549" max="1550" width="7.33203125" customWidth="1"/>
    <col min="1551" max="1551" width="7.1640625" customWidth="1"/>
    <col min="1794" max="1794" width="27.83203125" customWidth="1"/>
    <col min="1795" max="1796" width="9.83203125" customWidth="1"/>
    <col min="1797" max="1797" width="8" customWidth="1"/>
    <col min="1798" max="1798" width="1.83203125" customWidth="1"/>
    <col min="1799" max="1799" width="29.6640625" customWidth="1"/>
    <col min="1800" max="1801" width="9.83203125" customWidth="1"/>
    <col min="1802" max="1802" width="7.33203125" customWidth="1"/>
    <col min="1803" max="1803" width="1.1640625" customWidth="1"/>
    <col min="1804" max="1804" width="26.6640625" customWidth="1"/>
    <col min="1805" max="1806" width="7.33203125" customWidth="1"/>
    <col min="1807" max="1807" width="7.1640625" customWidth="1"/>
    <col min="2050" max="2050" width="27.83203125" customWidth="1"/>
    <col min="2051" max="2052" width="9.83203125" customWidth="1"/>
    <col min="2053" max="2053" width="8" customWidth="1"/>
    <col min="2054" max="2054" width="1.83203125" customWidth="1"/>
    <col min="2055" max="2055" width="29.6640625" customWidth="1"/>
    <col min="2056" max="2057" width="9.83203125" customWidth="1"/>
    <col min="2058" max="2058" width="7.33203125" customWidth="1"/>
    <col min="2059" max="2059" width="1.1640625" customWidth="1"/>
    <col min="2060" max="2060" width="26.6640625" customWidth="1"/>
    <col min="2061" max="2062" width="7.33203125" customWidth="1"/>
    <col min="2063" max="2063" width="7.1640625" customWidth="1"/>
    <col min="2306" max="2306" width="27.83203125" customWidth="1"/>
    <col min="2307" max="2308" width="9.83203125" customWidth="1"/>
    <col min="2309" max="2309" width="8" customWidth="1"/>
    <col min="2310" max="2310" width="1.83203125" customWidth="1"/>
    <col min="2311" max="2311" width="29.6640625" customWidth="1"/>
    <col min="2312" max="2313" width="9.83203125" customWidth="1"/>
    <col min="2314" max="2314" width="7.33203125" customWidth="1"/>
    <col min="2315" max="2315" width="1.1640625" customWidth="1"/>
    <col min="2316" max="2316" width="26.6640625" customWidth="1"/>
    <col min="2317" max="2318" width="7.33203125" customWidth="1"/>
    <col min="2319" max="2319" width="7.1640625" customWidth="1"/>
    <col min="2562" max="2562" width="27.83203125" customWidth="1"/>
    <col min="2563" max="2564" width="9.83203125" customWidth="1"/>
    <col min="2565" max="2565" width="8" customWidth="1"/>
    <col min="2566" max="2566" width="1.83203125" customWidth="1"/>
    <col min="2567" max="2567" width="29.6640625" customWidth="1"/>
    <col min="2568" max="2569" width="9.83203125" customWidth="1"/>
    <col min="2570" max="2570" width="7.33203125" customWidth="1"/>
    <col min="2571" max="2571" width="1.1640625" customWidth="1"/>
    <col min="2572" max="2572" width="26.6640625" customWidth="1"/>
    <col min="2573" max="2574" width="7.33203125" customWidth="1"/>
    <col min="2575" max="2575" width="7.1640625" customWidth="1"/>
    <col min="2818" max="2818" width="27.83203125" customWidth="1"/>
    <col min="2819" max="2820" width="9.83203125" customWidth="1"/>
    <col min="2821" max="2821" width="8" customWidth="1"/>
    <col min="2822" max="2822" width="1.83203125" customWidth="1"/>
    <col min="2823" max="2823" width="29.6640625" customWidth="1"/>
    <col min="2824" max="2825" width="9.83203125" customWidth="1"/>
    <col min="2826" max="2826" width="7.33203125" customWidth="1"/>
    <col min="2827" max="2827" width="1.1640625" customWidth="1"/>
    <col min="2828" max="2828" width="26.6640625" customWidth="1"/>
    <col min="2829" max="2830" width="7.33203125" customWidth="1"/>
    <col min="2831" max="2831" width="7.1640625" customWidth="1"/>
    <col min="3074" max="3074" width="27.83203125" customWidth="1"/>
    <col min="3075" max="3076" width="9.83203125" customWidth="1"/>
    <col min="3077" max="3077" width="8" customWidth="1"/>
    <col min="3078" max="3078" width="1.83203125" customWidth="1"/>
    <col min="3079" max="3079" width="29.6640625" customWidth="1"/>
    <col min="3080" max="3081" width="9.83203125" customWidth="1"/>
    <col min="3082" max="3082" width="7.33203125" customWidth="1"/>
    <col min="3083" max="3083" width="1.1640625" customWidth="1"/>
    <col min="3084" max="3084" width="26.6640625" customWidth="1"/>
    <col min="3085" max="3086" width="7.33203125" customWidth="1"/>
    <col min="3087" max="3087" width="7.1640625" customWidth="1"/>
    <col min="3330" max="3330" width="27.83203125" customWidth="1"/>
    <col min="3331" max="3332" width="9.83203125" customWidth="1"/>
    <col min="3333" max="3333" width="8" customWidth="1"/>
    <col min="3334" max="3334" width="1.83203125" customWidth="1"/>
    <col min="3335" max="3335" width="29.6640625" customWidth="1"/>
    <col min="3336" max="3337" width="9.83203125" customWidth="1"/>
    <col min="3338" max="3338" width="7.33203125" customWidth="1"/>
    <col min="3339" max="3339" width="1.1640625" customWidth="1"/>
    <col min="3340" max="3340" width="26.6640625" customWidth="1"/>
    <col min="3341" max="3342" width="7.33203125" customWidth="1"/>
    <col min="3343" max="3343" width="7.1640625" customWidth="1"/>
    <col min="3586" max="3586" width="27.83203125" customWidth="1"/>
    <col min="3587" max="3588" width="9.83203125" customWidth="1"/>
    <col min="3589" max="3589" width="8" customWidth="1"/>
    <col min="3590" max="3590" width="1.83203125" customWidth="1"/>
    <col min="3591" max="3591" width="29.6640625" customWidth="1"/>
    <col min="3592" max="3593" width="9.83203125" customWidth="1"/>
    <col min="3594" max="3594" width="7.33203125" customWidth="1"/>
    <col min="3595" max="3595" width="1.1640625" customWidth="1"/>
    <col min="3596" max="3596" width="26.6640625" customWidth="1"/>
    <col min="3597" max="3598" width="7.33203125" customWidth="1"/>
    <col min="3599" max="3599" width="7.1640625" customWidth="1"/>
    <col min="3842" max="3842" width="27.83203125" customWidth="1"/>
    <col min="3843" max="3844" width="9.83203125" customWidth="1"/>
    <col min="3845" max="3845" width="8" customWidth="1"/>
    <col min="3846" max="3846" width="1.83203125" customWidth="1"/>
    <col min="3847" max="3847" width="29.6640625" customWidth="1"/>
    <col min="3848" max="3849" width="9.83203125" customWidth="1"/>
    <col min="3850" max="3850" width="7.33203125" customWidth="1"/>
    <col min="3851" max="3851" width="1.1640625" customWidth="1"/>
    <col min="3852" max="3852" width="26.6640625" customWidth="1"/>
    <col min="3853" max="3854" width="7.33203125" customWidth="1"/>
    <col min="3855" max="3855" width="7.1640625" customWidth="1"/>
    <col min="4098" max="4098" width="27.83203125" customWidth="1"/>
    <col min="4099" max="4100" width="9.83203125" customWidth="1"/>
    <col min="4101" max="4101" width="8" customWidth="1"/>
    <col min="4102" max="4102" width="1.83203125" customWidth="1"/>
    <col min="4103" max="4103" width="29.6640625" customWidth="1"/>
    <col min="4104" max="4105" width="9.83203125" customWidth="1"/>
    <col min="4106" max="4106" width="7.33203125" customWidth="1"/>
    <col min="4107" max="4107" width="1.1640625" customWidth="1"/>
    <col min="4108" max="4108" width="26.6640625" customWidth="1"/>
    <col min="4109" max="4110" width="7.33203125" customWidth="1"/>
    <col min="4111" max="4111" width="7.1640625" customWidth="1"/>
    <col min="4354" max="4354" width="27.83203125" customWidth="1"/>
    <col min="4355" max="4356" width="9.83203125" customWidth="1"/>
    <col min="4357" max="4357" width="8" customWidth="1"/>
    <col min="4358" max="4358" width="1.83203125" customWidth="1"/>
    <col min="4359" max="4359" width="29.6640625" customWidth="1"/>
    <col min="4360" max="4361" width="9.83203125" customWidth="1"/>
    <col min="4362" max="4362" width="7.33203125" customWidth="1"/>
    <col min="4363" max="4363" width="1.1640625" customWidth="1"/>
    <col min="4364" max="4364" width="26.6640625" customWidth="1"/>
    <col min="4365" max="4366" width="7.33203125" customWidth="1"/>
    <col min="4367" max="4367" width="7.1640625" customWidth="1"/>
    <col min="4610" max="4610" width="27.83203125" customWidth="1"/>
    <col min="4611" max="4612" width="9.83203125" customWidth="1"/>
    <col min="4613" max="4613" width="8" customWidth="1"/>
    <col min="4614" max="4614" width="1.83203125" customWidth="1"/>
    <col min="4615" max="4615" width="29.6640625" customWidth="1"/>
    <col min="4616" max="4617" width="9.83203125" customWidth="1"/>
    <col min="4618" max="4618" width="7.33203125" customWidth="1"/>
    <col min="4619" max="4619" width="1.1640625" customWidth="1"/>
    <col min="4620" max="4620" width="26.6640625" customWidth="1"/>
    <col min="4621" max="4622" width="7.33203125" customWidth="1"/>
    <col min="4623" max="4623" width="7.1640625" customWidth="1"/>
    <col min="4866" max="4866" width="27.83203125" customWidth="1"/>
    <col min="4867" max="4868" width="9.83203125" customWidth="1"/>
    <col min="4869" max="4869" width="8" customWidth="1"/>
    <col min="4870" max="4870" width="1.83203125" customWidth="1"/>
    <col min="4871" max="4871" width="29.6640625" customWidth="1"/>
    <col min="4872" max="4873" width="9.83203125" customWidth="1"/>
    <col min="4874" max="4874" width="7.33203125" customWidth="1"/>
    <col min="4875" max="4875" width="1.1640625" customWidth="1"/>
    <col min="4876" max="4876" width="26.6640625" customWidth="1"/>
    <col min="4877" max="4878" width="7.33203125" customWidth="1"/>
    <col min="4879" max="4879" width="7.1640625" customWidth="1"/>
    <col min="5122" max="5122" width="27.83203125" customWidth="1"/>
    <col min="5123" max="5124" width="9.83203125" customWidth="1"/>
    <col min="5125" max="5125" width="8" customWidth="1"/>
    <col min="5126" max="5126" width="1.83203125" customWidth="1"/>
    <col min="5127" max="5127" width="29.6640625" customWidth="1"/>
    <col min="5128" max="5129" width="9.83203125" customWidth="1"/>
    <col min="5130" max="5130" width="7.33203125" customWidth="1"/>
    <col min="5131" max="5131" width="1.1640625" customWidth="1"/>
    <col min="5132" max="5132" width="26.6640625" customWidth="1"/>
    <col min="5133" max="5134" width="7.33203125" customWidth="1"/>
    <col min="5135" max="5135" width="7.1640625" customWidth="1"/>
    <col min="5378" max="5378" width="27.83203125" customWidth="1"/>
    <col min="5379" max="5380" width="9.83203125" customWidth="1"/>
    <col min="5381" max="5381" width="8" customWidth="1"/>
    <col min="5382" max="5382" width="1.83203125" customWidth="1"/>
    <col min="5383" max="5383" width="29.6640625" customWidth="1"/>
    <col min="5384" max="5385" width="9.83203125" customWidth="1"/>
    <col min="5386" max="5386" width="7.33203125" customWidth="1"/>
    <col min="5387" max="5387" width="1.1640625" customWidth="1"/>
    <col min="5388" max="5388" width="26.6640625" customWidth="1"/>
    <col min="5389" max="5390" width="7.33203125" customWidth="1"/>
    <col min="5391" max="5391" width="7.1640625" customWidth="1"/>
    <col min="5634" max="5634" width="27.83203125" customWidth="1"/>
    <col min="5635" max="5636" width="9.83203125" customWidth="1"/>
    <col min="5637" max="5637" width="8" customWidth="1"/>
    <col min="5638" max="5638" width="1.83203125" customWidth="1"/>
    <col min="5639" max="5639" width="29.6640625" customWidth="1"/>
    <col min="5640" max="5641" width="9.83203125" customWidth="1"/>
    <col min="5642" max="5642" width="7.33203125" customWidth="1"/>
    <col min="5643" max="5643" width="1.1640625" customWidth="1"/>
    <col min="5644" max="5644" width="26.6640625" customWidth="1"/>
    <col min="5645" max="5646" width="7.33203125" customWidth="1"/>
    <col min="5647" max="5647" width="7.1640625" customWidth="1"/>
    <col min="5890" max="5890" width="27.83203125" customWidth="1"/>
    <col min="5891" max="5892" width="9.83203125" customWidth="1"/>
    <col min="5893" max="5893" width="8" customWidth="1"/>
    <col min="5894" max="5894" width="1.83203125" customWidth="1"/>
    <col min="5895" max="5895" width="29.6640625" customWidth="1"/>
    <col min="5896" max="5897" width="9.83203125" customWidth="1"/>
    <col min="5898" max="5898" width="7.33203125" customWidth="1"/>
    <col min="5899" max="5899" width="1.1640625" customWidth="1"/>
    <col min="5900" max="5900" width="26.6640625" customWidth="1"/>
    <col min="5901" max="5902" width="7.33203125" customWidth="1"/>
    <col min="5903" max="5903" width="7.1640625" customWidth="1"/>
    <col min="6146" max="6146" width="27.83203125" customWidth="1"/>
    <col min="6147" max="6148" width="9.83203125" customWidth="1"/>
    <col min="6149" max="6149" width="8" customWidth="1"/>
    <col min="6150" max="6150" width="1.83203125" customWidth="1"/>
    <col min="6151" max="6151" width="29.6640625" customWidth="1"/>
    <col min="6152" max="6153" width="9.83203125" customWidth="1"/>
    <col min="6154" max="6154" width="7.33203125" customWidth="1"/>
    <col min="6155" max="6155" width="1.1640625" customWidth="1"/>
    <col min="6156" max="6156" width="26.6640625" customWidth="1"/>
    <col min="6157" max="6158" width="7.33203125" customWidth="1"/>
    <col min="6159" max="6159" width="7.1640625" customWidth="1"/>
    <col min="6402" max="6402" width="27.83203125" customWidth="1"/>
    <col min="6403" max="6404" width="9.83203125" customWidth="1"/>
    <col min="6405" max="6405" width="8" customWidth="1"/>
    <col min="6406" max="6406" width="1.83203125" customWidth="1"/>
    <col min="6407" max="6407" width="29.6640625" customWidth="1"/>
    <col min="6408" max="6409" width="9.83203125" customWidth="1"/>
    <col min="6410" max="6410" width="7.33203125" customWidth="1"/>
    <col min="6411" max="6411" width="1.1640625" customWidth="1"/>
    <col min="6412" max="6412" width="26.6640625" customWidth="1"/>
    <col min="6413" max="6414" width="7.33203125" customWidth="1"/>
    <col min="6415" max="6415" width="7.1640625" customWidth="1"/>
    <col min="6658" max="6658" width="27.83203125" customWidth="1"/>
    <col min="6659" max="6660" width="9.83203125" customWidth="1"/>
    <col min="6661" max="6661" width="8" customWidth="1"/>
    <col min="6662" max="6662" width="1.83203125" customWidth="1"/>
    <col min="6663" max="6663" width="29.6640625" customWidth="1"/>
    <col min="6664" max="6665" width="9.83203125" customWidth="1"/>
    <col min="6666" max="6666" width="7.33203125" customWidth="1"/>
    <col min="6667" max="6667" width="1.1640625" customWidth="1"/>
    <col min="6668" max="6668" width="26.6640625" customWidth="1"/>
    <col min="6669" max="6670" width="7.33203125" customWidth="1"/>
    <col min="6671" max="6671" width="7.1640625" customWidth="1"/>
    <col min="6914" max="6914" width="27.83203125" customWidth="1"/>
    <col min="6915" max="6916" width="9.83203125" customWidth="1"/>
    <col min="6917" max="6917" width="8" customWidth="1"/>
    <col min="6918" max="6918" width="1.83203125" customWidth="1"/>
    <col min="6919" max="6919" width="29.6640625" customWidth="1"/>
    <col min="6920" max="6921" width="9.83203125" customWidth="1"/>
    <col min="6922" max="6922" width="7.33203125" customWidth="1"/>
    <col min="6923" max="6923" width="1.1640625" customWidth="1"/>
    <col min="6924" max="6924" width="26.6640625" customWidth="1"/>
    <col min="6925" max="6926" width="7.33203125" customWidth="1"/>
    <col min="6927" max="6927" width="7.1640625" customWidth="1"/>
    <col min="7170" max="7170" width="27.83203125" customWidth="1"/>
    <col min="7171" max="7172" width="9.83203125" customWidth="1"/>
    <col min="7173" max="7173" width="8" customWidth="1"/>
    <col min="7174" max="7174" width="1.83203125" customWidth="1"/>
    <col min="7175" max="7175" width="29.6640625" customWidth="1"/>
    <col min="7176" max="7177" width="9.83203125" customWidth="1"/>
    <col min="7178" max="7178" width="7.33203125" customWidth="1"/>
    <col min="7179" max="7179" width="1.1640625" customWidth="1"/>
    <col min="7180" max="7180" width="26.6640625" customWidth="1"/>
    <col min="7181" max="7182" width="7.33203125" customWidth="1"/>
    <col min="7183" max="7183" width="7.1640625" customWidth="1"/>
    <col min="7426" max="7426" width="27.83203125" customWidth="1"/>
    <col min="7427" max="7428" width="9.83203125" customWidth="1"/>
    <col min="7429" max="7429" width="8" customWidth="1"/>
    <col min="7430" max="7430" width="1.83203125" customWidth="1"/>
    <col min="7431" max="7431" width="29.6640625" customWidth="1"/>
    <col min="7432" max="7433" width="9.83203125" customWidth="1"/>
    <col min="7434" max="7434" width="7.33203125" customWidth="1"/>
    <col min="7435" max="7435" width="1.1640625" customWidth="1"/>
    <col min="7436" max="7436" width="26.6640625" customWidth="1"/>
    <col min="7437" max="7438" width="7.33203125" customWidth="1"/>
    <col min="7439" max="7439" width="7.1640625" customWidth="1"/>
    <col min="7682" max="7682" width="27.83203125" customWidth="1"/>
    <col min="7683" max="7684" width="9.83203125" customWidth="1"/>
    <col min="7685" max="7685" width="8" customWidth="1"/>
    <col min="7686" max="7686" width="1.83203125" customWidth="1"/>
    <col min="7687" max="7687" width="29.6640625" customWidth="1"/>
    <col min="7688" max="7689" width="9.83203125" customWidth="1"/>
    <col min="7690" max="7690" width="7.33203125" customWidth="1"/>
    <col min="7691" max="7691" width="1.1640625" customWidth="1"/>
    <col min="7692" max="7692" width="26.6640625" customWidth="1"/>
    <col min="7693" max="7694" width="7.33203125" customWidth="1"/>
    <col min="7695" max="7695" width="7.1640625" customWidth="1"/>
    <col min="7938" max="7938" width="27.83203125" customWidth="1"/>
    <col min="7939" max="7940" width="9.83203125" customWidth="1"/>
    <col min="7941" max="7941" width="8" customWidth="1"/>
    <col min="7942" max="7942" width="1.83203125" customWidth="1"/>
    <col min="7943" max="7943" width="29.6640625" customWidth="1"/>
    <col min="7944" max="7945" width="9.83203125" customWidth="1"/>
    <col min="7946" max="7946" width="7.33203125" customWidth="1"/>
    <col min="7947" max="7947" width="1.1640625" customWidth="1"/>
    <col min="7948" max="7948" width="26.6640625" customWidth="1"/>
    <col min="7949" max="7950" width="7.33203125" customWidth="1"/>
    <col min="7951" max="7951" width="7.1640625" customWidth="1"/>
    <col min="8194" max="8194" width="27.83203125" customWidth="1"/>
    <col min="8195" max="8196" width="9.83203125" customWidth="1"/>
    <col min="8197" max="8197" width="8" customWidth="1"/>
    <col min="8198" max="8198" width="1.83203125" customWidth="1"/>
    <col min="8199" max="8199" width="29.6640625" customWidth="1"/>
    <col min="8200" max="8201" width="9.83203125" customWidth="1"/>
    <col min="8202" max="8202" width="7.33203125" customWidth="1"/>
    <col min="8203" max="8203" width="1.1640625" customWidth="1"/>
    <col min="8204" max="8204" width="26.6640625" customWidth="1"/>
    <col min="8205" max="8206" width="7.33203125" customWidth="1"/>
    <col min="8207" max="8207" width="7.1640625" customWidth="1"/>
    <col min="8450" max="8450" width="27.83203125" customWidth="1"/>
    <col min="8451" max="8452" width="9.83203125" customWidth="1"/>
    <col min="8453" max="8453" width="8" customWidth="1"/>
    <col min="8454" max="8454" width="1.83203125" customWidth="1"/>
    <col min="8455" max="8455" width="29.6640625" customWidth="1"/>
    <col min="8456" max="8457" width="9.83203125" customWidth="1"/>
    <col min="8458" max="8458" width="7.33203125" customWidth="1"/>
    <col min="8459" max="8459" width="1.1640625" customWidth="1"/>
    <col min="8460" max="8460" width="26.6640625" customWidth="1"/>
    <col min="8461" max="8462" width="7.33203125" customWidth="1"/>
    <col min="8463" max="8463" width="7.1640625" customWidth="1"/>
    <col min="8706" max="8706" width="27.83203125" customWidth="1"/>
    <col min="8707" max="8708" width="9.83203125" customWidth="1"/>
    <col min="8709" max="8709" width="8" customWidth="1"/>
    <col min="8710" max="8710" width="1.83203125" customWidth="1"/>
    <col min="8711" max="8711" width="29.6640625" customWidth="1"/>
    <col min="8712" max="8713" width="9.83203125" customWidth="1"/>
    <col min="8714" max="8714" width="7.33203125" customWidth="1"/>
    <col min="8715" max="8715" width="1.1640625" customWidth="1"/>
    <col min="8716" max="8716" width="26.6640625" customWidth="1"/>
    <col min="8717" max="8718" width="7.33203125" customWidth="1"/>
    <col min="8719" max="8719" width="7.1640625" customWidth="1"/>
    <col min="8962" max="8962" width="27.83203125" customWidth="1"/>
    <col min="8963" max="8964" width="9.83203125" customWidth="1"/>
    <col min="8965" max="8965" width="8" customWidth="1"/>
    <col min="8966" max="8966" width="1.83203125" customWidth="1"/>
    <col min="8967" max="8967" width="29.6640625" customWidth="1"/>
    <col min="8968" max="8969" width="9.83203125" customWidth="1"/>
    <col min="8970" max="8970" width="7.33203125" customWidth="1"/>
    <col min="8971" max="8971" width="1.1640625" customWidth="1"/>
    <col min="8972" max="8972" width="26.6640625" customWidth="1"/>
    <col min="8973" max="8974" width="7.33203125" customWidth="1"/>
    <col min="8975" max="8975" width="7.1640625" customWidth="1"/>
    <col min="9218" max="9218" width="27.83203125" customWidth="1"/>
    <col min="9219" max="9220" width="9.83203125" customWidth="1"/>
    <col min="9221" max="9221" width="8" customWidth="1"/>
    <col min="9222" max="9222" width="1.83203125" customWidth="1"/>
    <col min="9223" max="9223" width="29.6640625" customWidth="1"/>
    <col min="9224" max="9225" width="9.83203125" customWidth="1"/>
    <col min="9226" max="9226" width="7.33203125" customWidth="1"/>
    <col min="9227" max="9227" width="1.1640625" customWidth="1"/>
    <col min="9228" max="9228" width="26.6640625" customWidth="1"/>
    <col min="9229" max="9230" width="7.33203125" customWidth="1"/>
    <col min="9231" max="9231" width="7.1640625" customWidth="1"/>
    <col min="9474" max="9474" width="27.83203125" customWidth="1"/>
    <col min="9475" max="9476" width="9.83203125" customWidth="1"/>
    <col min="9477" max="9477" width="8" customWidth="1"/>
    <col min="9478" max="9478" width="1.83203125" customWidth="1"/>
    <col min="9479" max="9479" width="29.6640625" customWidth="1"/>
    <col min="9480" max="9481" width="9.83203125" customWidth="1"/>
    <col min="9482" max="9482" width="7.33203125" customWidth="1"/>
    <col min="9483" max="9483" width="1.1640625" customWidth="1"/>
    <col min="9484" max="9484" width="26.6640625" customWidth="1"/>
    <col min="9485" max="9486" width="7.33203125" customWidth="1"/>
    <col min="9487" max="9487" width="7.1640625" customWidth="1"/>
    <col min="9730" max="9730" width="27.83203125" customWidth="1"/>
    <col min="9731" max="9732" width="9.83203125" customWidth="1"/>
    <col min="9733" max="9733" width="8" customWidth="1"/>
    <col min="9734" max="9734" width="1.83203125" customWidth="1"/>
    <col min="9735" max="9735" width="29.6640625" customWidth="1"/>
    <col min="9736" max="9737" width="9.83203125" customWidth="1"/>
    <col min="9738" max="9738" width="7.33203125" customWidth="1"/>
    <col min="9739" max="9739" width="1.1640625" customWidth="1"/>
    <col min="9740" max="9740" width="26.6640625" customWidth="1"/>
    <col min="9741" max="9742" width="7.33203125" customWidth="1"/>
    <col min="9743" max="9743" width="7.1640625" customWidth="1"/>
    <col min="9986" max="9986" width="27.83203125" customWidth="1"/>
    <col min="9987" max="9988" width="9.83203125" customWidth="1"/>
    <col min="9989" max="9989" width="8" customWidth="1"/>
    <col min="9990" max="9990" width="1.83203125" customWidth="1"/>
    <col min="9991" max="9991" width="29.6640625" customWidth="1"/>
    <col min="9992" max="9993" width="9.83203125" customWidth="1"/>
    <col min="9994" max="9994" width="7.33203125" customWidth="1"/>
    <col min="9995" max="9995" width="1.1640625" customWidth="1"/>
    <col min="9996" max="9996" width="26.6640625" customWidth="1"/>
    <col min="9997" max="9998" width="7.33203125" customWidth="1"/>
    <col min="9999" max="9999" width="7.1640625" customWidth="1"/>
    <col min="10242" max="10242" width="27.83203125" customWidth="1"/>
    <col min="10243" max="10244" width="9.83203125" customWidth="1"/>
    <col min="10245" max="10245" width="8" customWidth="1"/>
    <col min="10246" max="10246" width="1.83203125" customWidth="1"/>
    <col min="10247" max="10247" width="29.6640625" customWidth="1"/>
    <col min="10248" max="10249" width="9.83203125" customWidth="1"/>
    <col min="10250" max="10250" width="7.33203125" customWidth="1"/>
    <col min="10251" max="10251" width="1.1640625" customWidth="1"/>
    <col min="10252" max="10252" width="26.6640625" customWidth="1"/>
    <col min="10253" max="10254" width="7.33203125" customWidth="1"/>
    <col min="10255" max="10255" width="7.1640625" customWidth="1"/>
    <col min="10498" max="10498" width="27.83203125" customWidth="1"/>
    <col min="10499" max="10500" width="9.83203125" customWidth="1"/>
    <col min="10501" max="10501" width="8" customWidth="1"/>
    <col min="10502" max="10502" width="1.83203125" customWidth="1"/>
    <col min="10503" max="10503" width="29.6640625" customWidth="1"/>
    <col min="10504" max="10505" width="9.83203125" customWidth="1"/>
    <col min="10506" max="10506" width="7.33203125" customWidth="1"/>
    <col min="10507" max="10507" width="1.1640625" customWidth="1"/>
    <col min="10508" max="10508" width="26.6640625" customWidth="1"/>
    <col min="10509" max="10510" width="7.33203125" customWidth="1"/>
    <col min="10511" max="10511" width="7.1640625" customWidth="1"/>
    <col min="10754" max="10754" width="27.83203125" customWidth="1"/>
    <col min="10755" max="10756" width="9.83203125" customWidth="1"/>
    <col min="10757" max="10757" width="8" customWidth="1"/>
    <col min="10758" max="10758" width="1.83203125" customWidth="1"/>
    <col min="10759" max="10759" width="29.6640625" customWidth="1"/>
    <col min="10760" max="10761" width="9.83203125" customWidth="1"/>
    <col min="10762" max="10762" width="7.33203125" customWidth="1"/>
    <col min="10763" max="10763" width="1.1640625" customWidth="1"/>
    <col min="10764" max="10764" width="26.6640625" customWidth="1"/>
    <col min="10765" max="10766" width="7.33203125" customWidth="1"/>
    <col min="10767" max="10767" width="7.1640625" customWidth="1"/>
    <col min="11010" max="11010" width="27.83203125" customWidth="1"/>
    <col min="11011" max="11012" width="9.83203125" customWidth="1"/>
    <col min="11013" max="11013" width="8" customWidth="1"/>
    <col min="11014" max="11014" width="1.83203125" customWidth="1"/>
    <col min="11015" max="11015" width="29.6640625" customWidth="1"/>
    <col min="11016" max="11017" width="9.83203125" customWidth="1"/>
    <col min="11018" max="11018" width="7.33203125" customWidth="1"/>
    <col min="11019" max="11019" width="1.1640625" customWidth="1"/>
    <col min="11020" max="11020" width="26.6640625" customWidth="1"/>
    <col min="11021" max="11022" width="7.33203125" customWidth="1"/>
    <col min="11023" max="11023" width="7.1640625" customWidth="1"/>
    <col min="11266" max="11266" width="27.83203125" customWidth="1"/>
    <col min="11267" max="11268" width="9.83203125" customWidth="1"/>
    <col min="11269" max="11269" width="8" customWidth="1"/>
    <col min="11270" max="11270" width="1.83203125" customWidth="1"/>
    <col min="11271" max="11271" width="29.6640625" customWidth="1"/>
    <col min="11272" max="11273" width="9.83203125" customWidth="1"/>
    <col min="11274" max="11274" width="7.33203125" customWidth="1"/>
    <col min="11275" max="11275" width="1.1640625" customWidth="1"/>
    <col min="11276" max="11276" width="26.6640625" customWidth="1"/>
    <col min="11277" max="11278" width="7.33203125" customWidth="1"/>
    <col min="11279" max="11279" width="7.1640625" customWidth="1"/>
    <col min="11522" max="11522" width="27.83203125" customWidth="1"/>
    <col min="11523" max="11524" width="9.83203125" customWidth="1"/>
    <col min="11525" max="11525" width="8" customWidth="1"/>
    <col min="11526" max="11526" width="1.83203125" customWidth="1"/>
    <col min="11527" max="11527" width="29.6640625" customWidth="1"/>
    <col min="11528" max="11529" width="9.83203125" customWidth="1"/>
    <col min="11530" max="11530" width="7.33203125" customWidth="1"/>
    <col min="11531" max="11531" width="1.1640625" customWidth="1"/>
    <col min="11532" max="11532" width="26.6640625" customWidth="1"/>
    <col min="11533" max="11534" width="7.33203125" customWidth="1"/>
    <col min="11535" max="11535" width="7.1640625" customWidth="1"/>
    <col min="11778" max="11778" width="27.83203125" customWidth="1"/>
    <col min="11779" max="11780" width="9.83203125" customWidth="1"/>
    <col min="11781" max="11781" width="8" customWidth="1"/>
    <col min="11782" max="11782" width="1.83203125" customWidth="1"/>
    <col min="11783" max="11783" width="29.6640625" customWidth="1"/>
    <col min="11784" max="11785" width="9.83203125" customWidth="1"/>
    <col min="11786" max="11786" width="7.33203125" customWidth="1"/>
    <col min="11787" max="11787" width="1.1640625" customWidth="1"/>
    <col min="11788" max="11788" width="26.6640625" customWidth="1"/>
    <col min="11789" max="11790" width="7.33203125" customWidth="1"/>
    <col min="11791" max="11791" width="7.1640625" customWidth="1"/>
    <col min="12034" max="12034" width="27.83203125" customWidth="1"/>
    <col min="12035" max="12036" width="9.83203125" customWidth="1"/>
    <col min="12037" max="12037" width="8" customWidth="1"/>
    <col min="12038" max="12038" width="1.83203125" customWidth="1"/>
    <col min="12039" max="12039" width="29.6640625" customWidth="1"/>
    <col min="12040" max="12041" width="9.83203125" customWidth="1"/>
    <col min="12042" max="12042" width="7.33203125" customWidth="1"/>
    <col min="12043" max="12043" width="1.1640625" customWidth="1"/>
    <col min="12044" max="12044" width="26.6640625" customWidth="1"/>
    <col min="12045" max="12046" width="7.33203125" customWidth="1"/>
    <col min="12047" max="12047" width="7.1640625" customWidth="1"/>
    <col min="12290" max="12290" width="27.83203125" customWidth="1"/>
    <col min="12291" max="12292" width="9.83203125" customWidth="1"/>
    <col min="12293" max="12293" width="8" customWidth="1"/>
    <col min="12294" max="12294" width="1.83203125" customWidth="1"/>
    <col min="12295" max="12295" width="29.6640625" customWidth="1"/>
    <col min="12296" max="12297" width="9.83203125" customWidth="1"/>
    <col min="12298" max="12298" width="7.33203125" customWidth="1"/>
    <col min="12299" max="12299" width="1.1640625" customWidth="1"/>
    <col min="12300" max="12300" width="26.6640625" customWidth="1"/>
    <col min="12301" max="12302" width="7.33203125" customWidth="1"/>
    <col min="12303" max="12303" width="7.1640625" customWidth="1"/>
    <col min="12546" max="12546" width="27.83203125" customWidth="1"/>
    <col min="12547" max="12548" width="9.83203125" customWidth="1"/>
    <col min="12549" max="12549" width="8" customWidth="1"/>
    <col min="12550" max="12550" width="1.83203125" customWidth="1"/>
    <col min="12551" max="12551" width="29.6640625" customWidth="1"/>
    <col min="12552" max="12553" width="9.83203125" customWidth="1"/>
    <col min="12554" max="12554" width="7.33203125" customWidth="1"/>
    <col min="12555" max="12555" width="1.1640625" customWidth="1"/>
    <col min="12556" max="12556" width="26.6640625" customWidth="1"/>
    <col min="12557" max="12558" width="7.33203125" customWidth="1"/>
    <col min="12559" max="12559" width="7.1640625" customWidth="1"/>
    <col min="12802" max="12802" width="27.83203125" customWidth="1"/>
    <col min="12803" max="12804" width="9.83203125" customWidth="1"/>
    <col min="12805" max="12805" width="8" customWidth="1"/>
    <col min="12806" max="12806" width="1.83203125" customWidth="1"/>
    <col min="12807" max="12807" width="29.6640625" customWidth="1"/>
    <col min="12808" max="12809" width="9.83203125" customWidth="1"/>
    <col min="12810" max="12810" width="7.33203125" customWidth="1"/>
    <col min="12811" max="12811" width="1.1640625" customWidth="1"/>
    <col min="12812" max="12812" width="26.6640625" customWidth="1"/>
    <col min="12813" max="12814" width="7.33203125" customWidth="1"/>
    <col min="12815" max="12815" width="7.1640625" customWidth="1"/>
    <col min="13058" max="13058" width="27.83203125" customWidth="1"/>
    <col min="13059" max="13060" width="9.83203125" customWidth="1"/>
    <col min="13061" max="13061" width="8" customWidth="1"/>
    <col min="13062" max="13062" width="1.83203125" customWidth="1"/>
    <col min="13063" max="13063" width="29.6640625" customWidth="1"/>
    <col min="13064" max="13065" width="9.83203125" customWidth="1"/>
    <col min="13066" max="13066" width="7.33203125" customWidth="1"/>
    <col min="13067" max="13067" width="1.1640625" customWidth="1"/>
    <col min="13068" max="13068" width="26.6640625" customWidth="1"/>
    <col min="13069" max="13070" width="7.33203125" customWidth="1"/>
    <col min="13071" max="13071" width="7.1640625" customWidth="1"/>
    <col min="13314" max="13314" width="27.83203125" customWidth="1"/>
    <col min="13315" max="13316" width="9.83203125" customWidth="1"/>
    <col min="13317" max="13317" width="8" customWidth="1"/>
    <col min="13318" max="13318" width="1.83203125" customWidth="1"/>
    <col min="13319" max="13319" width="29.6640625" customWidth="1"/>
    <col min="13320" max="13321" width="9.83203125" customWidth="1"/>
    <col min="13322" max="13322" width="7.33203125" customWidth="1"/>
    <col min="13323" max="13323" width="1.1640625" customWidth="1"/>
    <col min="13324" max="13324" width="26.6640625" customWidth="1"/>
    <col min="13325" max="13326" width="7.33203125" customWidth="1"/>
    <col min="13327" max="13327" width="7.1640625" customWidth="1"/>
    <col min="13570" max="13570" width="27.83203125" customWidth="1"/>
    <col min="13571" max="13572" width="9.83203125" customWidth="1"/>
    <col min="13573" max="13573" width="8" customWidth="1"/>
    <col min="13574" max="13574" width="1.83203125" customWidth="1"/>
    <col min="13575" max="13575" width="29.6640625" customWidth="1"/>
    <col min="13576" max="13577" width="9.83203125" customWidth="1"/>
    <col min="13578" max="13578" width="7.33203125" customWidth="1"/>
    <col min="13579" max="13579" width="1.1640625" customWidth="1"/>
    <col min="13580" max="13580" width="26.6640625" customWidth="1"/>
    <col min="13581" max="13582" width="7.33203125" customWidth="1"/>
    <col min="13583" max="13583" width="7.1640625" customWidth="1"/>
    <col min="13826" max="13826" width="27.83203125" customWidth="1"/>
    <col min="13827" max="13828" width="9.83203125" customWidth="1"/>
    <col min="13829" max="13829" width="8" customWidth="1"/>
    <col min="13830" max="13830" width="1.83203125" customWidth="1"/>
    <col min="13831" max="13831" width="29.6640625" customWidth="1"/>
    <col min="13832" max="13833" width="9.83203125" customWidth="1"/>
    <col min="13834" max="13834" width="7.33203125" customWidth="1"/>
    <col min="13835" max="13835" width="1.1640625" customWidth="1"/>
    <col min="13836" max="13836" width="26.6640625" customWidth="1"/>
    <col min="13837" max="13838" width="7.33203125" customWidth="1"/>
    <col min="13839" max="13839" width="7.1640625" customWidth="1"/>
    <col min="14082" max="14082" width="27.83203125" customWidth="1"/>
    <col min="14083" max="14084" width="9.83203125" customWidth="1"/>
    <col min="14085" max="14085" width="8" customWidth="1"/>
    <col min="14086" max="14086" width="1.83203125" customWidth="1"/>
    <col min="14087" max="14087" width="29.6640625" customWidth="1"/>
    <col min="14088" max="14089" width="9.83203125" customWidth="1"/>
    <col min="14090" max="14090" width="7.33203125" customWidth="1"/>
    <col min="14091" max="14091" width="1.1640625" customWidth="1"/>
    <col min="14092" max="14092" width="26.6640625" customWidth="1"/>
    <col min="14093" max="14094" width="7.33203125" customWidth="1"/>
    <col min="14095" max="14095" width="7.1640625" customWidth="1"/>
    <col min="14338" max="14338" width="27.83203125" customWidth="1"/>
    <col min="14339" max="14340" width="9.83203125" customWidth="1"/>
    <col min="14341" max="14341" width="8" customWidth="1"/>
    <col min="14342" max="14342" width="1.83203125" customWidth="1"/>
    <col min="14343" max="14343" width="29.6640625" customWidth="1"/>
    <col min="14344" max="14345" width="9.83203125" customWidth="1"/>
    <col min="14346" max="14346" width="7.33203125" customWidth="1"/>
    <col min="14347" max="14347" width="1.1640625" customWidth="1"/>
    <col min="14348" max="14348" width="26.6640625" customWidth="1"/>
    <col min="14349" max="14350" width="7.33203125" customWidth="1"/>
    <col min="14351" max="14351" width="7.1640625" customWidth="1"/>
    <col min="14594" max="14594" width="27.83203125" customWidth="1"/>
    <col min="14595" max="14596" width="9.83203125" customWidth="1"/>
    <col min="14597" max="14597" width="8" customWidth="1"/>
    <col min="14598" max="14598" width="1.83203125" customWidth="1"/>
    <col min="14599" max="14599" width="29.6640625" customWidth="1"/>
    <col min="14600" max="14601" width="9.83203125" customWidth="1"/>
    <col min="14602" max="14602" width="7.33203125" customWidth="1"/>
    <col min="14603" max="14603" width="1.1640625" customWidth="1"/>
    <col min="14604" max="14604" width="26.6640625" customWidth="1"/>
    <col min="14605" max="14606" width="7.33203125" customWidth="1"/>
    <col min="14607" max="14607" width="7.1640625" customWidth="1"/>
    <col min="14850" max="14850" width="27.83203125" customWidth="1"/>
    <col min="14851" max="14852" width="9.83203125" customWidth="1"/>
    <col min="14853" max="14853" width="8" customWidth="1"/>
    <col min="14854" max="14854" width="1.83203125" customWidth="1"/>
    <col min="14855" max="14855" width="29.6640625" customWidth="1"/>
    <col min="14856" max="14857" width="9.83203125" customWidth="1"/>
    <col min="14858" max="14858" width="7.33203125" customWidth="1"/>
    <col min="14859" max="14859" width="1.1640625" customWidth="1"/>
    <col min="14860" max="14860" width="26.6640625" customWidth="1"/>
    <col min="14861" max="14862" width="7.33203125" customWidth="1"/>
    <col min="14863" max="14863" width="7.1640625" customWidth="1"/>
    <col min="15106" max="15106" width="27.83203125" customWidth="1"/>
    <col min="15107" max="15108" width="9.83203125" customWidth="1"/>
    <col min="15109" max="15109" width="8" customWidth="1"/>
    <col min="15110" max="15110" width="1.83203125" customWidth="1"/>
    <col min="15111" max="15111" width="29.6640625" customWidth="1"/>
    <col min="15112" max="15113" width="9.83203125" customWidth="1"/>
    <col min="15114" max="15114" width="7.33203125" customWidth="1"/>
    <col min="15115" max="15115" width="1.1640625" customWidth="1"/>
    <col min="15116" max="15116" width="26.6640625" customWidth="1"/>
    <col min="15117" max="15118" width="7.33203125" customWidth="1"/>
    <col min="15119" max="15119" width="7.1640625" customWidth="1"/>
    <col min="15362" max="15362" width="27.83203125" customWidth="1"/>
    <col min="15363" max="15364" width="9.83203125" customWidth="1"/>
    <col min="15365" max="15365" width="8" customWidth="1"/>
    <col min="15366" max="15366" width="1.83203125" customWidth="1"/>
    <col min="15367" max="15367" width="29.6640625" customWidth="1"/>
    <col min="15368" max="15369" width="9.83203125" customWidth="1"/>
    <col min="15370" max="15370" width="7.33203125" customWidth="1"/>
    <col min="15371" max="15371" width="1.1640625" customWidth="1"/>
    <col min="15372" max="15372" width="26.6640625" customWidth="1"/>
    <col min="15373" max="15374" width="7.33203125" customWidth="1"/>
    <col min="15375" max="15375" width="7.1640625" customWidth="1"/>
    <col min="15618" max="15618" width="27.83203125" customWidth="1"/>
    <col min="15619" max="15620" width="9.83203125" customWidth="1"/>
    <col min="15621" max="15621" width="8" customWidth="1"/>
    <col min="15622" max="15622" width="1.83203125" customWidth="1"/>
    <col min="15623" max="15623" width="29.6640625" customWidth="1"/>
    <col min="15624" max="15625" width="9.83203125" customWidth="1"/>
    <col min="15626" max="15626" width="7.33203125" customWidth="1"/>
    <col min="15627" max="15627" width="1.1640625" customWidth="1"/>
    <col min="15628" max="15628" width="26.6640625" customWidth="1"/>
    <col min="15629" max="15630" width="7.33203125" customWidth="1"/>
    <col min="15631" max="15631" width="7.1640625" customWidth="1"/>
    <col min="15874" max="15874" width="27.83203125" customWidth="1"/>
    <col min="15875" max="15876" width="9.83203125" customWidth="1"/>
    <col min="15877" max="15877" width="8" customWidth="1"/>
    <col min="15878" max="15878" width="1.83203125" customWidth="1"/>
    <col min="15879" max="15879" width="29.6640625" customWidth="1"/>
    <col min="15880" max="15881" width="9.83203125" customWidth="1"/>
    <col min="15882" max="15882" width="7.33203125" customWidth="1"/>
    <col min="15883" max="15883" width="1.1640625" customWidth="1"/>
    <col min="15884" max="15884" width="26.6640625" customWidth="1"/>
    <col min="15885" max="15886" width="7.33203125" customWidth="1"/>
    <col min="15887" max="15887" width="7.1640625" customWidth="1"/>
    <col min="16130" max="16130" width="27.83203125" customWidth="1"/>
    <col min="16131" max="16132" width="9.83203125" customWidth="1"/>
    <col min="16133" max="16133" width="8" customWidth="1"/>
    <col min="16134" max="16134" width="1.83203125" customWidth="1"/>
    <col min="16135" max="16135" width="29.6640625" customWidth="1"/>
    <col min="16136" max="16137" width="9.83203125" customWidth="1"/>
    <col min="16138" max="16138" width="7.33203125" customWidth="1"/>
    <col min="16139" max="16139" width="1.1640625" customWidth="1"/>
    <col min="16140" max="16140" width="26.6640625" customWidth="1"/>
    <col min="16141" max="16142" width="7.33203125" customWidth="1"/>
    <col min="16143" max="16143" width="7.1640625" customWidth="1"/>
  </cols>
  <sheetData>
    <row r="1" spans="2:16" ht="18" x14ac:dyDescent="0.2">
      <c r="B1" s="2" t="s">
        <v>58</v>
      </c>
      <c r="H1" s="4"/>
    </row>
    <row r="2" spans="2:16" ht="12" customHeight="1" thickBot="1" x14ac:dyDescent="0.25">
      <c r="B2" s="5" t="s">
        <v>1</v>
      </c>
    </row>
    <row r="3" spans="2:16" ht="17" thickBot="1" x14ac:dyDescent="0.25">
      <c r="B3" s="36" t="s">
        <v>2</v>
      </c>
      <c r="C3" s="37" t="s">
        <v>45</v>
      </c>
      <c r="D3" s="37" t="s">
        <v>70</v>
      </c>
      <c r="E3" s="25" t="s">
        <v>71</v>
      </c>
      <c r="G3" s="36" t="s">
        <v>64</v>
      </c>
      <c r="H3" s="37" t="str">
        <f>C3</f>
        <v>2020</v>
      </c>
      <c r="I3" s="37" t="str">
        <f>D3</f>
        <v>2021</v>
      </c>
      <c r="J3" s="25" t="str">
        <f>E3</f>
        <v>21-20</v>
      </c>
      <c r="L3" s="36" t="s">
        <v>53</v>
      </c>
      <c r="M3" s="37" t="str">
        <f>H3</f>
        <v>2020</v>
      </c>
      <c r="N3" s="42" t="str">
        <f>I3</f>
        <v>2021</v>
      </c>
      <c r="O3" s="31" t="str">
        <f>J3</f>
        <v>21-20</v>
      </c>
    </row>
    <row r="4" spans="2:16" ht="3" customHeight="1" x14ac:dyDescent="0.2">
      <c r="B4" s="6"/>
      <c r="D4" s="23"/>
      <c r="E4" s="26"/>
      <c r="G4" s="6"/>
      <c r="I4" s="23"/>
      <c r="J4" s="26"/>
      <c r="L4" s="34"/>
      <c r="M4" s="35"/>
      <c r="N4" s="35"/>
      <c r="O4" s="35"/>
    </row>
    <row r="5" spans="2:16" ht="17" thickBot="1" x14ac:dyDescent="0.25">
      <c r="B5" s="6" t="s">
        <v>4</v>
      </c>
      <c r="C5" s="3">
        <v>2107.4929999999999</v>
      </c>
      <c r="D5" s="23">
        <v>2107.4929999999999</v>
      </c>
      <c r="E5" s="26">
        <f>+D5-C5</f>
        <v>0</v>
      </c>
      <c r="G5" s="6" t="s">
        <v>5</v>
      </c>
      <c r="H5" s="3">
        <v>529.94600000000003</v>
      </c>
      <c r="I5" s="3">
        <v>529.94600000000003</v>
      </c>
      <c r="J5" s="26">
        <f>+I5-H5</f>
        <v>0</v>
      </c>
      <c r="L5" s="64" t="s">
        <v>3</v>
      </c>
      <c r="M5" s="65"/>
      <c r="N5" s="65"/>
      <c r="O5" s="65"/>
    </row>
    <row r="6" spans="2:16" x14ac:dyDescent="0.2">
      <c r="B6" s="6" t="s">
        <v>7</v>
      </c>
      <c r="C6" s="3">
        <v>3249.317</v>
      </c>
      <c r="D6" s="23">
        <v>3249.317</v>
      </c>
      <c r="E6" s="26">
        <f>+D6-C6</f>
        <v>0</v>
      </c>
      <c r="G6" s="6" t="s">
        <v>8</v>
      </c>
      <c r="H6" s="3">
        <v>1498.2850000000001</v>
      </c>
      <c r="I6" s="3">
        <v>1498.2850000000001</v>
      </c>
      <c r="J6" s="26">
        <f>+I6-H6</f>
        <v>0</v>
      </c>
      <c r="L6" s="56" t="s">
        <v>6</v>
      </c>
      <c r="M6" s="75">
        <f>C10/H10</f>
        <v>2.2553289958129681</v>
      </c>
      <c r="N6" s="75">
        <f>D10/I10</f>
        <v>2.2553289958129681</v>
      </c>
      <c r="O6" s="66">
        <f>+N6-M6</f>
        <v>0</v>
      </c>
    </row>
    <row r="7" spans="2:16" x14ac:dyDescent="0.2">
      <c r="B7" s="6" t="s">
        <v>10</v>
      </c>
      <c r="C7" s="3">
        <v>1912.067</v>
      </c>
      <c r="D7" s="23">
        <v>1912.067</v>
      </c>
      <c r="E7" s="26">
        <f>+D7-C7</f>
        <v>0</v>
      </c>
      <c r="G7" s="6" t="s">
        <v>47</v>
      </c>
      <c r="H7" s="3">
        <v>1022.8049999999999</v>
      </c>
      <c r="I7" s="3">
        <v>1022.8049999999999</v>
      </c>
      <c r="J7" s="26">
        <f>+I7-H7</f>
        <v>0</v>
      </c>
      <c r="L7" s="45" t="s">
        <v>9</v>
      </c>
      <c r="M7" s="76">
        <f>(C10-C7)/H10</f>
        <v>1.699480538281994</v>
      </c>
      <c r="N7" s="76">
        <f>(D10-D7)/I10</f>
        <v>1.699480538281994</v>
      </c>
      <c r="O7" s="67">
        <f t="shared" ref="O7:O15" si="0">+N7-M7</f>
        <v>0</v>
      </c>
    </row>
    <row r="8" spans="2:16" x14ac:dyDescent="0.2">
      <c r="B8" s="6" t="s">
        <v>13</v>
      </c>
      <c r="C8" s="3">
        <v>489.24500000000035</v>
      </c>
      <c r="D8" s="23">
        <v>489.24500000000035</v>
      </c>
      <c r="E8" s="26">
        <f>+D8-C8</f>
        <v>0</v>
      </c>
      <c r="G8" s="6" t="s">
        <v>14</v>
      </c>
      <c r="H8" s="3">
        <v>388.87100000000021</v>
      </c>
      <c r="I8" s="3">
        <v>388.87100000000021</v>
      </c>
      <c r="J8" s="26">
        <f>+I8-H8</f>
        <v>0</v>
      </c>
      <c r="L8" s="45" t="s">
        <v>11</v>
      </c>
      <c r="M8" s="46">
        <f>+C10-H10</f>
        <v>4318.2149999999992</v>
      </c>
      <c r="N8" s="46">
        <f>+D10-I10</f>
        <v>4318.2149999999992</v>
      </c>
      <c r="O8" s="43">
        <f t="shared" si="0"/>
        <v>0</v>
      </c>
      <c r="P8" s="70" t="s">
        <v>12</v>
      </c>
    </row>
    <row r="9" spans="2:16" x14ac:dyDescent="0.2">
      <c r="B9" s="6"/>
      <c r="C9" s="9"/>
      <c r="D9" s="9"/>
      <c r="E9" s="27"/>
      <c r="G9" s="6"/>
      <c r="H9" s="9"/>
      <c r="I9" s="9"/>
      <c r="J9" s="27"/>
      <c r="L9" s="45" t="s">
        <v>15</v>
      </c>
      <c r="M9" s="47">
        <f>(C5)/H10</f>
        <v>0.6126598771420273</v>
      </c>
      <c r="N9" s="47">
        <f>(D5)/I10</f>
        <v>0.6126598771420273</v>
      </c>
      <c r="O9" s="44">
        <f t="shared" si="0"/>
        <v>0</v>
      </c>
      <c r="P9" s="71"/>
    </row>
    <row r="10" spans="2:16" x14ac:dyDescent="0.2">
      <c r="B10" s="10" t="s">
        <v>17</v>
      </c>
      <c r="C10" s="11">
        <f>SUM(C5:C9)</f>
        <v>7758.1219999999994</v>
      </c>
      <c r="D10" s="24">
        <f>SUM(D5:D9)</f>
        <v>7758.1219999999994</v>
      </c>
      <c r="E10" s="28">
        <f>+D10-C10</f>
        <v>0</v>
      </c>
      <c r="G10" s="10" t="s">
        <v>18</v>
      </c>
      <c r="H10" s="11">
        <f>SUM(H5:H9)</f>
        <v>3439.9070000000002</v>
      </c>
      <c r="I10" s="11">
        <f>SUM(I5:I9)</f>
        <v>3439.9070000000002</v>
      </c>
      <c r="J10" s="28">
        <f>SUM(J5:J9)</f>
        <v>0</v>
      </c>
      <c r="L10" s="45" t="s">
        <v>16</v>
      </c>
      <c r="M10" s="47">
        <f>(C10-H10)/C21</f>
        <v>0.10230219169282175</v>
      </c>
      <c r="N10" s="47">
        <f>(D10-I10)/D21</f>
        <v>0.10230219169282175</v>
      </c>
      <c r="O10" s="44">
        <f t="shared" si="0"/>
        <v>0</v>
      </c>
      <c r="P10" s="71"/>
    </row>
    <row r="11" spans="2:16" ht="17" thickBot="1" x14ac:dyDescent="0.25">
      <c r="B11" s="6"/>
      <c r="C11" s="69">
        <f>C10/C$21</f>
        <v>0.18379651870513575</v>
      </c>
      <c r="D11" s="69">
        <f>D10/D$21</f>
        <v>0.18379651870513575</v>
      </c>
      <c r="E11" s="26"/>
      <c r="G11" s="6"/>
      <c r="H11" s="69">
        <f>H10/H$21</f>
        <v>8.1494327012313988E-2</v>
      </c>
      <c r="I11" s="69">
        <f>I10/I$21</f>
        <v>8.1494327012313988E-2</v>
      </c>
      <c r="J11" s="26"/>
      <c r="L11" s="64" t="s">
        <v>66</v>
      </c>
      <c r="M11" s="65"/>
      <c r="N11" s="65"/>
      <c r="O11" s="65"/>
      <c r="P11" s="71"/>
    </row>
    <row r="12" spans="2:16" x14ac:dyDescent="0.2">
      <c r="B12" s="6" t="s">
        <v>23</v>
      </c>
      <c r="C12" s="3">
        <v>29551.904999999999</v>
      </c>
      <c r="D12" s="23">
        <v>29551.904999999999</v>
      </c>
      <c r="E12" s="26">
        <f>+D12-C12</f>
        <v>0</v>
      </c>
      <c r="G12" s="6" t="s">
        <v>24</v>
      </c>
      <c r="H12" s="3">
        <v>17735.2</v>
      </c>
      <c r="I12" s="3">
        <v>17735.2</v>
      </c>
      <c r="J12" s="26">
        <f>+I12-H12</f>
        <v>0</v>
      </c>
      <c r="L12" s="56" t="s">
        <v>19</v>
      </c>
      <c r="M12" s="58">
        <f>-C27/C7</f>
        <v>5.5255276096496617</v>
      </c>
      <c r="N12" s="58">
        <f>-D27/D7</f>
        <v>5.5255276096496617</v>
      </c>
      <c r="O12" s="57">
        <f t="shared" si="0"/>
        <v>0</v>
      </c>
      <c r="P12" s="70" t="s">
        <v>54</v>
      </c>
    </row>
    <row r="13" spans="2:16" x14ac:dyDescent="0.2">
      <c r="B13" s="6" t="s">
        <v>26</v>
      </c>
      <c r="C13" s="3">
        <v>3418.9580000000001</v>
      </c>
      <c r="D13" s="23">
        <v>3418.9580000000001</v>
      </c>
      <c r="E13" s="26">
        <f>+D13-C13</f>
        <v>0</v>
      </c>
      <c r="G13" s="6" t="s">
        <v>27</v>
      </c>
      <c r="H13" s="9">
        <v>9408.7880000000005</v>
      </c>
      <c r="I13" s="9">
        <v>9408.7880000000005</v>
      </c>
      <c r="J13" s="27">
        <f>+I13-H13</f>
        <v>0</v>
      </c>
      <c r="L13" s="45" t="s">
        <v>21</v>
      </c>
      <c r="M13" s="50">
        <f>365/M12</f>
        <v>66.057040301920111</v>
      </c>
      <c r="N13" s="50">
        <f>365/N12</f>
        <v>66.057040301920111</v>
      </c>
      <c r="O13" s="48">
        <f t="shared" si="0"/>
        <v>0</v>
      </c>
      <c r="P13" s="70" t="s">
        <v>22</v>
      </c>
    </row>
    <row r="14" spans="2:16" x14ac:dyDescent="0.2">
      <c r="B14" s="6" t="s">
        <v>29</v>
      </c>
      <c r="C14" s="3">
        <v>1481.4010000000053</v>
      </c>
      <c r="D14" s="23">
        <v>1481.4010000000053</v>
      </c>
      <c r="E14" s="26">
        <f>+D14-C14</f>
        <v>0</v>
      </c>
      <c r="G14" s="10" t="s">
        <v>30</v>
      </c>
      <c r="H14" s="11">
        <f>+H13+H12</f>
        <v>27143.988000000001</v>
      </c>
      <c r="I14" s="24">
        <f>+I13+I12</f>
        <v>27143.988000000001</v>
      </c>
      <c r="J14" s="28">
        <f>+J13+J12</f>
        <v>0</v>
      </c>
      <c r="L14" s="45" t="s">
        <v>25</v>
      </c>
      <c r="M14" s="50">
        <f>(C6)/(C26*1.19/365)</f>
        <v>70.318735225544486</v>
      </c>
      <c r="N14" s="50">
        <f>(D6)/(D26*1.19/365)</f>
        <v>70.318735225544486</v>
      </c>
      <c r="O14" s="48">
        <f t="shared" si="0"/>
        <v>0</v>
      </c>
      <c r="P14" s="70" t="s">
        <v>22</v>
      </c>
    </row>
    <row r="15" spans="2:16" ht="16.5" customHeight="1" x14ac:dyDescent="0.2">
      <c r="B15" s="6"/>
      <c r="C15" s="9"/>
      <c r="D15" s="9"/>
      <c r="E15" s="27"/>
      <c r="G15" s="6"/>
      <c r="H15" s="69">
        <f>H14/H$21</f>
        <v>0.64306419751764421</v>
      </c>
      <c r="I15" s="69">
        <f>I14/I$21</f>
        <v>0.64306419751764421</v>
      </c>
      <c r="J15" s="26"/>
      <c r="L15" s="45" t="s">
        <v>28</v>
      </c>
      <c r="M15" s="50">
        <f>(H6)/(-C27*1.19/365)</f>
        <v>43.497417715467073</v>
      </c>
      <c r="N15" s="50">
        <f>(I6)/(-D27*1.19/365)</f>
        <v>43.497417715467073</v>
      </c>
      <c r="O15" s="48">
        <f t="shared" si="0"/>
        <v>0</v>
      </c>
      <c r="P15" s="70" t="s">
        <v>22</v>
      </c>
    </row>
    <row r="16" spans="2:16" x14ac:dyDescent="0.2">
      <c r="B16" s="10" t="s">
        <v>32</v>
      </c>
      <c r="C16" s="11">
        <f>+C14+C13+C12</f>
        <v>34452.264000000003</v>
      </c>
      <c r="D16" s="24">
        <f>+D14+D13+D12</f>
        <v>34452.264000000003</v>
      </c>
      <c r="E16" s="28">
        <f>+D16-C16</f>
        <v>0</v>
      </c>
      <c r="G16" s="6" t="s">
        <v>33</v>
      </c>
      <c r="H16" s="3">
        <v>10896.245000000001</v>
      </c>
      <c r="I16" s="3">
        <v>10896.245000000001</v>
      </c>
      <c r="J16" s="26">
        <f>+I16-H16</f>
        <v>0</v>
      </c>
      <c r="L16" s="8"/>
      <c r="M16" s="12"/>
      <c r="N16" s="12"/>
      <c r="O16" s="22"/>
      <c r="P16" s="72"/>
    </row>
    <row r="17" spans="1:16" ht="17" thickBot="1" x14ac:dyDescent="0.25">
      <c r="B17" s="6"/>
      <c r="C17" s="69">
        <f>C16/C$21</f>
        <v>0.81620348129486431</v>
      </c>
      <c r="D17" s="69">
        <f>D16/D$21</f>
        <v>0.81620348129486431</v>
      </c>
      <c r="E17" s="26"/>
      <c r="G17" s="6" t="s">
        <v>48</v>
      </c>
      <c r="H17" s="3">
        <v>-194.696</v>
      </c>
      <c r="I17" s="3">
        <v>-194.696</v>
      </c>
      <c r="J17" s="26">
        <f>+I17-H17</f>
        <v>0</v>
      </c>
      <c r="L17" s="64" t="s">
        <v>31</v>
      </c>
      <c r="M17" s="65"/>
      <c r="N17" s="65"/>
      <c r="O17" s="65"/>
      <c r="P17" s="70"/>
    </row>
    <row r="18" spans="1:16" x14ac:dyDescent="0.2">
      <c r="B18" s="6"/>
      <c r="D18" s="23"/>
      <c r="E18" s="26"/>
      <c r="G18" s="6" t="s">
        <v>49</v>
      </c>
      <c r="H18" s="9">
        <v>924.94200000000001</v>
      </c>
      <c r="I18" s="9">
        <v>924.94200000000001</v>
      </c>
      <c r="J18" s="27">
        <f>+I18-H18</f>
        <v>0</v>
      </c>
      <c r="L18" s="56" t="s">
        <v>68</v>
      </c>
      <c r="M18" s="81">
        <f>H14/(H10+H14)</f>
        <v>0.88752554244644122</v>
      </c>
      <c r="N18" s="81">
        <f>I14/(I10+I14)</f>
        <v>0.88752554244644122</v>
      </c>
      <c r="O18" s="79">
        <f t="shared" ref="O18:O21" si="1">+N18-M18</f>
        <v>0</v>
      </c>
      <c r="P18" s="70"/>
    </row>
    <row r="19" spans="1:16" x14ac:dyDescent="0.2">
      <c r="B19" s="6"/>
      <c r="D19" s="23"/>
      <c r="E19" s="26"/>
      <c r="G19" s="10" t="s">
        <v>35</v>
      </c>
      <c r="H19" s="11">
        <f>+H18+H17+H16</f>
        <v>11626.491</v>
      </c>
      <c r="I19" s="24">
        <f>+I18+I17+I16</f>
        <v>11626.491</v>
      </c>
      <c r="J19" s="28">
        <f>+J18+J17+J16</f>
        <v>0</v>
      </c>
      <c r="L19" s="45" t="s">
        <v>69</v>
      </c>
      <c r="M19" s="82">
        <f>H12/(H5+H12)</f>
        <v>0.97098594229687518</v>
      </c>
      <c r="N19" s="82">
        <f>I12/(I5+I12)</f>
        <v>0.97098594229687518</v>
      </c>
      <c r="O19" s="80">
        <f t="shared" si="1"/>
        <v>0</v>
      </c>
      <c r="P19" s="70"/>
    </row>
    <row r="20" spans="1:16" ht="3" customHeight="1" thickBot="1" x14ac:dyDescent="0.25">
      <c r="B20" s="6"/>
      <c r="D20" s="23"/>
      <c r="E20" s="26"/>
      <c r="G20" s="10"/>
      <c r="H20" s="11"/>
      <c r="I20" s="24"/>
      <c r="J20" s="26"/>
      <c r="L20" s="13"/>
      <c r="M20" s="13"/>
      <c r="N20" s="13"/>
      <c r="O20" s="68"/>
      <c r="P20" s="70"/>
    </row>
    <row r="21" spans="1:16" x14ac:dyDescent="0.2">
      <c r="B21" s="38" t="s">
        <v>37</v>
      </c>
      <c r="C21" s="39">
        <f>+C16+C10</f>
        <v>42210.385999999999</v>
      </c>
      <c r="D21" s="39">
        <f>+D16+D10</f>
        <v>42210.385999999999</v>
      </c>
      <c r="E21" s="29">
        <f>+D21-C21</f>
        <v>0</v>
      </c>
      <c r="G21" s="38" t="s">
        <v>63</v>
      </c>
      <c r="H21" s="39">
        <f>+H19+H14+H10</f>
        <v>42210.385999999999</v>
      </c>
      <c r="I21" s="39">
        <f>+I19+I14+I10</f>
        <v>42210.385999999999</v>
      </c>
      <c r="J21" s="29">
        <f>+J19+J14+J10</f>
        <v>0</v>
      </c>
      <c r="L21" s="45" t="s">
        <v>67</v>
      </c>
      <c r="M21" s="76">
        <f>(H14+H10)/H19</f>
        <v>2.6305353008057204</v>
      </c>
      <c r="N21" s="76">
        <f>(I14+I10)/I19</f>
        <v>2.6305353008057204</v>
      </c>
      <c r="O21" s="67">
        <f t="shared" si="1"/>
        <v>0</v>
      </c>
      <c r="P21" s="70"/>
    </row>
    <row r="22" spans="1:16" ht="4" customHeight="1" thickBot="1" x14ac:dyDescent="0.25">
      <c r="B22" s="40"/>
      <c r="C22" s="41"/>
      <c r="D22" s="41"/>
      <c r="E22" s="30"/>
      <c r="G22" s="40"/>
      <c r="H22" s="41"/>
      <c r="I22" s="41"/>
      <c r="J22" s="30"/>
      <c r="L22" s="13"/>
      <c r="M22" s="13"/>
      <c r="N22" s="13"/>
      <c r="O22" s="13"/>
      <c r="P22" s="70"/>
    </row>
    <row r="23" spans="1:16" ht="3" customHeight="1" thickBot="1" x14ac:dyDescent="0.25">
      <c r="B23" s="14"/>
      <c r="C23" s="15"/>
      <c r="D23" s="15"/>
      <c r="E23" s="15"/>
      <c r="G23" s="16"/>
      <c r="H23" s="17"/>
      <c r="I23" s="17"/>
      <c r="J23" s="17"/>
      <c r="L23" s="8"/>
      <c r="M23" s="12"/>
      <c r="N23" s="12"/>
      <c r="O23" s="22"/>
      <c r="P23" s="70"/>
    </row>
    <row r="24" spans="1:16" ht="17" thickBot="1" x14ac:dyDescent="0.25">
      <c r="B24" s="36" t="s">
        <v>59</v>
      </c>
      <c r="C24" s="37" t="str">
        <f>+C3</f>
        <v>2020</v>
      </c>
      <c r="D24" s="42" t="str">
        <f>+D3</f>
        <v>2021</v>
      </c>
      <c r="E24" s="31" t="str">
        <f>+E3</f>
        <v>21-20</v>
      </c>
      <c r="G24" s="36" t="s">
        <v>97</v>
      </c>
      <c r="H24" s="42"/>
      <c r="I24" s="42" t="str">
        <f>+I3</f>
        <v>2021</v>
      </c>
      <c r="J24" s="17"/>
      <c r="L24" s="45" t="s">
        <v>50</v>
      </c>
      <c r="M24" s="49">
        <f>(H5+H12)/M29</f>
        <v>9.5589849815494503</v>
      </c>
      <c r="N24" s="49">
        <f>(I5+I12)/N29</f>
        <v>9.5589849815494503</v>
      </c>
      <c r="O24" s="48">
        <f t="shared" ref="O24" si="2">+N24-M24</f>
        <v>0</v>
      </c>
      <c r="P24" s="70"/>
    </row>
    <row r="25" spans="1:16" ht="17" thickBot="1" x14ac:dyDescent="0.25">
      <c r="B25" s="6"/>
      <c r="E25" s="32"/>
      <c r="G25" s="6"/>
      <c r="H25" s="23"/>
      <c r="I25" s="93"/>
      <c r="J25" s="17"/>
      <c r="L25" s="64" t="s">
        <v>36</v>
      </c>
      <c r="M25" s="65"/>
      <c r="N25" s="65"/>
      <c r="O25" s="65"/>
      <c r="P25" s="70"/>
    </row>
    <row r="26" spans="1:16" x14ac:dyDescent="0.2">
      <c r="B26" s="6" t="s">
        <v>39</v>
      </c>
      <c r="C26" s="3">
        <v>14173.168</v>
      </c>
      <c r="D26" s="3">
        <v>14173.168</v>
      </c>
      <c r="E26" s="26">
        <f>+D26-C26</f>
        <v>0</v>
      </c>
      <c r="G26" s="10" t="s">
        <v>34</v>
      </c>
      <c r="H26" s="24"/>
      <c r="I26" s="95">
        <f>+D36</f>
        <v>256.88099999999974</v>
      </c>
      <c r="L26" s="59" t="s">
        <v>55</v>
      </c>
      <c r="M26" s="60">
        <f>C34/C21</f>
        <v>2.4730501161491388E-2</v>
      </c>
      <c r="N26" s="60">
        <f>D34/D21</f>
        <v>2.4730501161491388E-2</v>
      </c>
      <c r="O26" s="61">
        <f t="shared" ref="O26:O27" si="3">+N26-M26</f>
        <v>0</v>
      </c>
      <c r="P26" s="73"/>
    </row>
    <row r="27" spans="1:16" x14ac:dyDescent="0.2">
      <c r="B27" s="6" t="s">
        <v>0</v>
      </c>
      <c r="C27" s="9">
        <v>-10565.179</v>
      </c>
      <c r="D27" s="9">
        <v>-10565.179</v>
      </c>
      <c r="E27" s="27">
        <f t="shared" ref="E27:E36" si="4">+D27-C27</f>
        <v>0</v>
      </c>
      <c r="G27" s="6" t="s">
        <v>99</v>
      </c>
      <c r="H27" s="9"/>
      <c r="I27" s="94"/>
      <c r="L27" s="53" t="s">
        <v>56</v>
      </c>
      <c r="M27" s="54">
        <f>C36/H19</f>
        <v>2.2094456530349506E-2</v>
      </c>
      <c r="N27" s="54">
        <f>D36/I19</f>
        <v>2.2094456530349506E-2</v>
      </c>
      <c r="O27" s="51">
        <f t="shared" si="3"/>
        <v>0</v>
      </c>
      <c r="P27" s="74"/>
    </row>
    <row r="28" spans="1:16" x14ac:dyDescent="0.2">
      <c r="B28" s="6" t="s">
        <v>40</v>
      </c>
      <c r="C28" s="3">
        <f>+C27+C26</f>
        <v>3607.9889999999996</v>
      </c>
      <c r="D28" s="3">
        <f>+D27+D26</f>
        <v>3607.9889999999996</v>
      </c>
      <c r="E28" s="26">
        <f t="shared" si="4"/>
        <v>0</v>
      </c>
      <c r="G28" s="10" t="s">
        <v>98</v>
      </c>
      <c r="H28" s="24"/>
      <c r="I28" s="95">
        <f>+I27+I26</f>
        <v>256.88099999999974</v>
      </c>
      <c r="L28" s="53" t="s">
        <v>57</v>
      </c>
      <c r="M28" s="54">
        <f>C36/C26</f>
        <v>1.8124458836584718E-2</v>
      </c>
      <c r="N28" s="54">
        <f>D36/D26</f>
        <v>1.8124458836584718E-2</v>
      </c>
      <c r="O28" s="51">
        <f t="shared" ref="O28" si="5">+N28-M28</f>
        <v>0</v>
      </c>
      <c r="P28" s="73" t="s">
        <v>12</v>
      </c>
    </row>
    <row r="29" spans="1:16" ht="20.25" customHeight="1" x14ac:dyDescent="0.2">
      <c r="B29" s="6" t="s">
        <v>61</v>
      </c>
      <c r="C29" s="3">
        <v>-1697.2059999999999</v>
      </c>
      <c r="D29" s="3">
        <v>-1697.2059999999999</v>
      </c>
      <c r="E29" s="26">
        <f t="shared" si="4"/>
        <v>0</v>
      </c>
      <c r="G29" s="100" t="s">
        <v>114</v>
      </c>
      <c r="H29" s="23"/>
      <c r="I29" s="93"/>
      <c r="J29" s="11"/>
      <c r="L29" s="53" t="s">
        <v>38</v>
      </c>
      <c r="M29" s="55">
        <f>C31-C30</f>
        <v>1910.7829999999997</v>
      </c>
      <c r="N29" s="55">
        <f>D31-D30</f>
        <v>1910.7829999999997</v>
      </c>
      <c r="O29" s="52">
        <f>+N29-M29</f>
        <v>0</v>
      </c>
      <c r="P29" s="73" t="s">
        <v>22</v>
      </c>
    </row>
    <row r="30" spans="1:16" x14ac:dyDescent="0.2">
      <c r="B30" s="6" t="s">
        <v>41</v>
      </c>
      <c r="C30" s="9">
        <v>-38.377000000000002</v>
      </c>
      <c r="D30" s="9">
        <v>-38.377000000000002</v>
      </c>
      <c r="E30" s="27">
        <f t="shared" si="4"/>
        <v>0</v>
      </c>
      <c r="G30" s="100" t="s">
        <v>115</v>
      </c>
      <c r="H30" s="23"/>
      <c r="I30" s="93"/>
      <c r="J30" s="11"/>
      <c r="L30" s="53" t="s">
        <v>52</v>
      </c>
      <c r="M30" s="54">
        <f>-C29/C28</f>
        <v>0.47040221020629502</v>
      </c>
      <c r="N30" s="54">
        <f>-D29/D28</f>
        <v>0.47040221020629502</v>
      </c>
      <c r="O30" s="51">
        <f t="shared" ref="O30" si="6">+N30-M30</f>
        <v>0</v>
      </c>
      <c r="P30" s="73" t="s">
        <v>20</v>
      </c>
    </row>
    <row r="31" spans="1:16" ht="17" thickBot="1" x14ac:dyDescent="0.25">
      <c r="A31" s="11"/>
      <c r="B31" s="10" t="s">
        <v>42</v>
      </c>
      <c r="C31" s="11">
        <f>+C30+C29+C28</f>
        <v>1872.4059999999997</v>
      </c>
      <c r="D31" s="11">
        <f>+D30+D29+D28</f>
        <v>1872.4059999999997</v>
      </c>
      <c r="E31" s="28">
        <f t="shared" si="4"/>
        <v>0</v>
      </c>
      <c r="F31" s="11"/>
      <c r="G31" s="100" t="s">
        <v>116</v>
      </c>
      <c r="H31" s="23"/>
      <c r="I31" s="93"/>
      <c r="L31" s="64" t="s">
        <v>51</v>
      </c>
      <c r="M31" s="65"/>
      <c r="N31" s="65"/>
      <c r="O31" s="65"/>
    </row>
    <row r="32" spans="1:16" x14ac:dyDescent="0.2">
      <c r="B32" s="6" t="s">
        <v>46</v>
      </c>
      <c r="C32" s="3">
        <v>-702.25099999999998</v>
      </c>
      <c r="D32" s="3">
        <v>-702.25099999999998</v>
      </c>
      <c r="E32" s="26">
        <f t="shared" si="4"/>
        <v>0</v>
      </c>
      <c r="G32" s="100" t="s">
        <v>100</v>
      </c>
      <c r="H32" s="9"/>
      <c r="I32" s="94"/>
      <c r="J32" s="11"/>
      <c r="L32" s="59" t="s">
        <v>60</v>
      </c>
      <c r="M32" s="62">
        <f>-(C5+C6)/((C27+C29)/365)</f>
        <v>159.44986640037803</v>
      </c>
      <c r="N32" s="62">
        <f>-(D5+D6)/((D27+D29)/365)</f>
        <v>159.44986640037803</v>
      </c>
      <c r="O32" s="63">
        <f t="shared" ref="O32:O33" si="7">+N32-M32</f>
        <v>0</v>
      </c>
    </row>
    <row r="33" spans="1:15" x14ac:dyDescent="0.2">
      <c r="B33" s="6" t="s">
        <v>62</v>
      </c>
      <c r="C33" s="3">
        <v>-126.271</v>
      </c>
      <c r="D33" s="3">
        <v>-126.271</v>
      </c>
      <c r="E33" s="26">
        <f t="shared" si="4"/>
        <v>0</v>
      </c>
      <c r="G33" s="10" t="s">
        <v>98</v>
      </c>
      <c r="H33" s="24"/>
      <c r="I33" s="95">
        <f>SUM(I28:I32)</f>
        <v>256.88099999999974</v>
      </c>
      <c r="J33" s="11"/>
      <c r="L33" s="53" t="s">
        <v>65</v>
      </c>
      <c r="M33" s="77">
        <f>M29/-C32</f>
        <v>2.7209402336201727</v>
      </c>
      <c r="N33" s="77">
        <f>N29/-D32</f>
        <v>2.7209402336201727</v>
      </c>
      <c r="O33" s="78">
        <f t="shared" si="7"/>
        <v>0</v>
      </c>
    </row>
    <row r="34" spans="1:15" ht="21" customHeight="1" x14ac:dyDescent="0.2">
      <c r="A34" s="11"/>
      <c r="B34" s="10" t="s">
        <v>43</v>
      </c>
      <c r="C34" s="11">
        <f>+C33+C32+C31</f>
        <v>1043.8839999999998</v>
      </c>
      <c r="D34" s="11">
        <f>+D33+D32+D31</f>
        <v>1043.8839999999998</v>
      </c>
      <c r="E34" s="28">
        <f t="shared" si="4"/>
        <v>0</v>
      </c>
      <c r="F34" s="11"/>
      <c r="G34" s="100" t="s">
        <v>102</v>
      </c>
      <c r="H34" s="23"/>
      <c r="I34" s="93"/>
      <c r="J34" s="18"/>
      <c r="L34" s="7"/>
      <c r="M34" s="8"/>
      <c r="N34" s="8"/>
      <c r="O34" s="8"/>
    </row>
    <row r="35" spans="1:15" ht="17" thickBot="1" x14ac:dyDescent="0.25">
      <c r="B35" s="6" t="s">
        <v>44</v>
      </c>
      <c r="C35" s="19">
        <v>-787.00300000000004</v>
      </c>
      <c r="D35" s="19">
        <v>-787.00300000000004</v>
      </c>
      <c r="E35" s="33">
        <f t="shared" si="4"/>
        <v>0</v>
      </c>
      <c r="G35" s="100" t="s">
        <v>103</v>
      </c>
      <c r="H35" s="9"/>
      <c r="I35" s="94"/>
      <c r="J35" s="11"/>
      <c r="L35" s="7"/>
      <c r="M35" s="8"/>
      <c r="N35" s="8"/>
      <c r="O35" s="8"/>
    </row>
    <row r="36" spans="1:15" ht="17" thickTop="1" x14ac:dyDescent="0.2">
      <c r="A36" s="11"/>
      <c r="B36" s="10" t="s">
        <v>34</v>
      </c>
      <c r="C36" s="11">
        <f>+C35+C34</f>
        <v>256.88099999999974</v>
      </c>
      <c r="D36" s="11">
        <f>+D35+D34</f>
        <v>256.88099999999974</v>
      </c>
      <c r="E36" s="28">
        <f t="shared" si="4"/>
        <v>0</v>
      </c>
      <c r="F36" s="11"/>
      <c r="G36" s="10" t="s">
        <v>101</v>
      </c>
      <c r="H36" s="24"/>
      <c r="I36" s="95">
        <f>+I35+I34</f>
        <v>0</v>
      </c>
      <c r="J36" s="11"/>
      <c r="L36" s="7"/>
      <c r="M36" s="8"/>
      <c r="N36" s="8"/>
      <c r="O36" s="8"/>
    </row>
    <row r="37" spans="1:15" ht="19" customHeight="1" thickBot="1" x14ac:dyDescent="0.25">
      <c r="B37" s="20"/>
      <c r="C37" s="21"/>
      <c r="D37" s="21"/>
      <c r="E37" s="30"/>
      <c r="G37" s="100" t="s">
        <v>112</v>
      </c>
      <c r="H37" s="23"/>
      <c r="I37" s="93"/>
      <c r="L37" s="7"/>
      <c r="M37" s="8"/>
      <c r="N37" s="8"/>
      <c r="O37" s="8"/>
    </row>
    <row r="38" spans="1:15" x14ac:dyDescent="0.2">
      <c r="G38" s="100" t="s">
        <v>113</v>
      </c>
      <c r="H38" s="9"/>
      <c r="I38" s="94"/>
      <c r="L38" s="7"/>
      <c r="M38" s="8"/>
      <c r="N38" s="8"/>
      <c r="O38" s="8"/>
    </row>
    <row r="39" spans="1:15" x14ac:dyDescent="0.2">
      <c r="G39" s="10" t="s">
        <v>104</v>
      </c>
      <c r="H39" s="24"/>
      <c r="I39" s="95">
        <f>+I38+I37</f>
        <v>0</v>
      </c>
    </row>
    <row r="40" spans="1:15" ht="6.5" customHeight="1" x14ac:dyDescent="0.2">
      <c r="G40" s="10"/>
      <c r="H40" s="24"/>
      <c r="I40" s="95"/>
    </row>
    <row r="41" spans="1:15" x14ac:dyDescent="0.2">
      <c r="G41" s="10" t="s">
        <v>106</v>
      </c>
      <c r="H41" s="24"/>
      <c r="I41" s="95">
        <f>+I39+I36+I33</f>
        <v>256.88099999999974</v>
      </c>
    </row>
    <row r="42" spans="1:15" ht="22.5" customHeight="1" thickBot="1" x14ac:dyDescent="0.25">
      <c r="G42" s="96" t="s">
        <v>105</v>
      </c>
      <c r="H42" s="97"/>
      <c r="I42" s="98">
        <f>+I41+D5</f>
        <v>2364.3739999999998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D99EC-E922-4F56-94A7-34A3FC8C1819}">
  <dimension ref="A2:L18"/>
  <sheetViews>
    <sheetView showGridLines="0" tabSelected="1" workbookViewId="0">
      <selection activeCell="G12" sqref="G12"/>
    </sheetView>
  </sheetViews>
  <sheetFormatPr baseColWidth="10" defaultRowHeight="16" x14ac:dyDescent="0.2"/>
  <cols>
    <col min="1" max="1" width="3.6640625" customWidth="1"/>
    <col min="2" max="2" width="46.6640625" customWidth="1"/>
    <col min="3" max="12" width="8.83203125" customWidth="1"/>
    <col min="13" max="13" width="5.83203125" customWidth="1"/>
  </cols>
  <sheetData>
    <row r="2" spans="1:12" ht="19" x14ac:dyDescent="0.25">
      <c r="A2" s="1" t="s">
        <v>83</v>
      </c>
    </row>
    <row r="3" spans="1:12" x14ac:dyDescent="0.2">
      <c r="A3" s="84"/>
    </row>
    <row r="4" spans="1:12" x14ac:dyDescent="0.2">
      <c r="A4" s="99" t="s">
        <v>107</v>
      </c>
    </row>
    <row r="5" spans="1:12" x14ac:dyDescent="0.2">
      <c r="A5" s="99" t="s">
        <v>111</v>
      </c>
    </row>
    <row r="6" spans="1:12" x14ac:dyDescent="0.2">
      <c r="A6" s="99" t="s">
        <v>108</v>
      </c>
    </row>
    <row r="8" spans="1:12" ht="17" thickBot="1" x14ac:dyDescent="0.25">
      <c r="A8" s="88" t="s">
        <v>82</v>
      </c>
      <c r="B8" s="83"/>
      <c r="C8" s="92" t="s">
        <v>72</v>
      </c>
      <c r="D8" s="92" t="s">
        <v>73</v>
      </c>
      <c r="E8" s="92" t="s">
        <v>74</v>
      </c>
      <c r="F8" s="92" t="s">
        <v>75</v>
      </c>
      <c r="G8" s="92" t="s">
        <v>76</v>
      </c>
      <c r="H8" s="92" t="s">
        <v>77</v>
      </c>
      <c r="I8" s="92" t="s">
        <v>78</v>
      </c>
      <c r="J8" s="92" t="s">
        <v>79</v>
      </c>
      <c r="K8" s="92" t="s">
        <v>80</v>
      </c>
      <c r="L8" s="92" t="s">
        <v>81</v>
      </c>
    </row>
    <row r="9" spans="1:12" ht="7" customHeight="1" x14ac:dyDescent="0.2"/>
    <row r="10" spans="1:12" ht="30" x14ac:dyDescent="0.2">
      <c r="A10" s="89" t="s">
        <v>87</v>
      </c>
      <c r="B10" s="86" t="s">
        <v>84</v>
      </c>
      <c r="C10" s="91">
        <f>ROUND(Ratios!$C$26*5%,0)</f>
        <v>709</v>
      </c>
      <c r="D10" s="91">
        <f>ROUND(Ratios!$C$26*4%,0)</f>
        <v>567</v>
      </c>
      <c r="E10" s="91">
        <f>ROUND(Ratios!$C$26*3%,0)</f>
        <v>425</v>
      </c>
      <c r="F10" s="91">
        <f>ROUND(Ratios!$C$26*2%,0)</f>
        <v>283</v>
      </c>
      <c r="G10" s="91">
        <f>ROUND(Ratios!$C$26*1%,0)</f>
        <v>142</v>
      </c>
      <c r="H10" s="91">
        <f>ROUND(Ratios!$C$26*-1%,0)</f>
        <v>-142</v>
      </c>
      <c r="I10" s="91">
        <f>ROUND(Ratios!$C$26*-2%,0)</f>
        <v>-283</v>
      </c>
      <c r="J10" s="91">
        <f>ROUND(Ratios!$C$26*-3%,0)</f>
        <v>-425</v>
      </c>
      <c r="K10" s="91">
        <f>ROUND(Ratios!$C$26*-4%,0)</f>
        <v>-567</v>
      </c>
      <c r="L10" s="91">
        <f>ROUND(Ratios!$C$26*-5%,0)</f>
        <v>-709</v>
      </c>
    </row>
    <row r="11" spans="1:12" x14ac:dyDescent="0.2">
      <c r="A11" s="89" t="s">
        <v>88</v>
      </c>
      <c r="B11" s="86" t="s">
        <v>85</v>
      </c>
      <c r="C11" s="91">
        <v>1000</v>
      </c>
      <c r="D11" s="91">
        <v>1500</v>
      </c>
      <c r="E11" s="91">
        <v>1700</v>
      </c>
      <c r="F11" s="91">
        <v>1000</v>
      </c>
      <c r="G11" s="91">
        <v>1500</v>
      </c>
      <c r="H11" s="91">
        <v>1700</v>
      </c>
      <c r="I11" s="91">
        <v>1000</v>
      </c>
      <c r="J11" s="91">
        <v>1500</v>
      </c>
      <c r="K11" s="91">
        <v>1700</v>
      </c>
      <c r="L11" s="91">
        <v>2000</v>
      </c>
    </row>
    <row r="12" spans="1:12" x14ac:dyDescent="0.2">
      <c r="A12" s="89" t="s">
        <v>89</v>
      </c>
      <c r="B12" s="86" t="s">
        <v>86</v>
      </c>
      <c r="C12" s="87">
        <v>0.04</v>
      </c>
      <c r="D12" s="87">
        <v>0.05</v>
      </c>
      <c r="E12" s="87">
        <v>0.06</v>
      </c>
      <c r="F12" s="87">
        <v>0.1</v>
      </c>
      <c r="G12" s="87">
        <v>0.1</v>
      </c>
      <c r="H12" s="87">
        <v>0.1</v>
      </c>
      <c r="I12" s="87">
        <v>0.15</v>
      </c>
      <c r="J12" s="87">
        <v>0.15</v>
      </c>
      <c r="K12" s="87">
        <v>0.05</v>
      </c>
      <c r="L12" s="87">
        <v>0.1</v>
      </c>
    </row>
    <row r="13" spans="1:12" ht="45" x14ac:dyDescent="0.2">
      <c r="A13" s="89" t="s">
        <v>90</v>
      </c>
      <c r="B13" s="86" t="s">
        <v>95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</row>
    <row r="14" spans="1:12" ht="30" x14ac:dyDescent="0.2">
      <c r="A14" s="89" t="s">
        <v>91</v>
      </c>
      <c r="B14" s="86" t="s">
        <v>93</v>
      </c>
      <c r="C14" s="85"/>
      <c r="D14" s="85"/>
      <c r="E14" s="85"/>
      <c r="F14" s="85"/>
      <c r="G14" s="85"/>
      <c r="H14" s="85"/>
      <c r="I14" s="85"/>
      <c r="J14" s="85"/>
      <c r="K14" s="85"/>
      <c r="L14" s="85"/>
    </row>
    <row r="15" spans="1:12" ht="30" x14ac:dyDescent="0.2">
      <c r="A15" s="89" t="s">
        <v>92</v>
      </c>
      <c r="B15" s="86" t="s">
        <v>94</v>
      </c>
    </row>
    <row r="16" spans="1:12" ht="30" x14ac:dyDescent="0.2">
      <c r="A16" s="89" t="s">
        <v>96</v>
      </c>
      <c r="B16" s="86" t="s">
        <v>94</v>
      </c>
    </row>
    <row r="17" spans="1:12" ht="30" x14ac:dyDescent="0.2">
      <c r="A17" s="89" t="s">
        <v>109</v>
      </c>
      <c r="B17" s="86" t="s">
        <v>110</v>
      </c>
    </row>
    <row r="18" spans="1:12" ht="8" customHeight="1" thickBot="1" x14ac:dyDescent="0.25">
      <c r="A18" s="90"/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</row>
  </sheetData>
  <phoneticPr fontId="5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Ratios</vt:lpstr>
      <vt:lpstr>Enunciado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Lowick-Russell Alvarez</dc:creator>
  <cp:lastModifiedBy>Leyla Reyes Palma</cp:lastModifiedBy>
  <cp:lastPrinted>2021-08-12T13:43:58Z</cp:lastPrinted>
  <dcterms:created xsi:type="dcterms:W3CDTF">2021-08-10T17:09:42Z</dcterms:created>
  <dcterms:modified xsi:type="dcterms:W3CDTF">2021-08-13T17:57:26Z</dcterms:modified>
</cp:coreProperties>
</file>