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C:\Users\Talo\Desktop\"/>
    </mc:Choice>
  </mc:AlternateContent>
  <xr:revisionPtr revIDLastSave="0" documentId="8_{3D569BAC-3D67-4B48-8768-302A6B9F71D1}" xr6:coauthVersionLast="40" xr6:coauthVersionMax="40" xr10:uidLastSave="{00000000-0000-0000-0000-000000000000}"/>
  <bookViews>
    <workbookView xWindow="240" yWindow="465" windowWidth="25365" windowHeight="13920" firstSheet="10" activeTab="10" xr2:uid="{00000000-000D-0000-FFFF-FFFF00000000}"/>
  </bookViews>
  <sheets>
    <sheet name="Balance Global" sheetId="16" r:id="rId1"/>
    <sheet name="Línea Leche de almendra" sheetId="1" r:id="rId2"/>
    <sheet name="Linea de Queso de Almendra" sheetId="13" r:id="rId3"/>
    <sheet name="Línea de Pellet de Almendra" sheetId="14" r:id="rId4"/>
    <sheet name="Línea de Potabilización de Agua" sheetId="15" r:id="rId5"/>
    <sheet name="Ciclón" sheetId="5" r:id="rId6"/>
    <sheet name="Tanque de Remojo" sheetId="6" r:id="rId7"/>
    <sheet name="Intercambiador de calor" sheetId="7" r:id="rId8"/>
    <sheet name="Filtro prensa" sheetId="8" r:id="rId9"/>
    <sheet name="Reacción ácida" sheetId="9" r:id="rId10"/>
    <sheet name="Autoclave" sheetId="10" r:id="rId11"/>
    <sheet name="Sedimentador" sheetId="11" r:id="rId12"/>
    <sheet name="PFR" sheetId="12" r:id="rId1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2" i="1" l="1"/>
  <c r="P19" i="1"/>
  <c r="M24" i="9"/>
  <c r="B3" i="1"/>
  <c r="B8" i="1" s="1"/>
  <c r="B4" i="1"/>
  <c r="P20" i="1"/>
  <c r="P21" i="1"/>
  <c r="B15" i="1"/>
  <c r="P23" i="1" s="1"/>
  <c r="P27" i="1"/>
  <c r="V3" i="13"/>
  <c r="C34" i="10"/>
  <c r="C28" i="8"/>
  <c r="C27" i="8"/>
  <c r="C33" i="8"/>
  <c r="C64" i="9"/>
  <c r="M9" i="9"/>
  <c r="E4" i="13"/>
  <c r="C32" i="8"/>
  <c r="C28" i="10"/>
  <c r="C35" i="10"/>
  <c r="C52" i="7"/>
  <c r="C53" i="7"/>
  <c r="C56" i="7"/>
  <c r="C58" i="7"/>
  <c r="C34" i="11"/>
  <c r="C32" i="12"/>
  <c r="I17" i="12"/>
  <c r="I18" i="12"/>
  <c r="J18" i="12"/>
  <c r="K18" i="12"/>
  <c r="L18" i="12"/>
  <c r="M18" i="12"/>
  <c r="N18" i="12"/>
  <c r="I19" i="12"/>
  <c r="K19" i="12"/>
  <c r="L19" i="12"/>
  <c r="N19" i="12"/>
  <c r="I20" i="12"/>
  <c r="K20" i="12"/>
  <c r="L20" i="12"/>
  <c r="N20" i="12"/>
  <c r="I21" i="12"/>
  <c r="J21" i="12"/>
  <c r="K21" i="12"/>
  <c r="L21" i="12"/>
  <c r="M21" i="12"/>
  <c r="N21" i="12"/>
  <c r="I22" i="12"/>
  <c r="K22" i="12"/>
  <c r="L22" i="12"/>
  <c r="N22" i="12"/>
  <c r="I1" i="11"/>
  <c r="I2" i="11"/>
  <c r="J2" i="11"/>
  <c r="K2" i="11"/>
  <c r="L2" i="11"/>
  <c r="M2" i="11"/>
  <c r="N2" i="11"/>
  <c r="I3" i="11"/>
  <c r="K3" i="11"/>
  <c r="N3" i="11"/>
  <c r="I4" i="11"/>
  <c r="J4" i="11"/>
  <c r="K4" i="11"/>
  <c r="L4" i="11"/>
  <c r="M4" i="11"/>
  <c r="N4" i="11"/>
  <c r="I5" i="11"/>
  <c r="K5" i="11"/>
  <c r="L5" i="11"/>
  <c r="N5" i="11"/>
  <c r="I6" i="11"/>
  <c r="K6" i="11"/>
  <c r="L6" i="11"/>
  <c r="N6" i="11"/>
  <c r="M8" i="6"/>
  <c r="C59" i="9"/>
  <c r="F18" i="14"/>
  <c r="F17" i="14"/>
  <c r="F15" i="14"/>
  <c r="A1" i="13"/>
  <c r="A1" i="14"/>
  <c r="A3" i="14"/>
  <c r="C3" i="14"/>
  <c r="F3" i="14"/>
  <c r="C4" i="14"/>
  <c r="F4" i="14"/>
  <c r="C5" i="14"/>
  <c r="F5" i="14"/>
  <c r="C6" i="14"/>
  <c r="F6" i="14"/>
  <c r="A8" i="14"/>
  <c r="C8" i="14"/>
  <c r="F8" i="14"/>
  <c r="C9" i="14"/>
  <c r="F9" i="14"/>
  <c r="C10" i="14"/>
  <c r="F10" i="14"/>
  <c r="A11" i="14"/>
  <c r="C11" i="14"/>
  <c r="C15" i="14" s="1"/>
  <c r="F11" i="14"/>
  <c r="J11" i="12"/>
  <c r="J14" i="12"/>
  <c r="K23" i="5"/>
  <c r="L23" i="5"/>
  <c r="K22" i="5"/>
  <c r="L22" i="5"/>
  <c r="K21" i="5"/>
  <c r="L21" i="5"/>
  <c r="K20" i="5"/>
  <c r="L20" i="5"/>
  <c r="K19" i="5"/>
  <c r="L19" i="5"/>
  <c r="K18" i="5"/>
  <c r="L18" i="5"/>
  <c r="K17" i="5"/>
  <c r="L17" i="5"/>
  <c r="K16" i="5"/>
  <c r="L16" i="5"/>
  <c r="L24" i="5" s="1"/>
  <c r="M22" i="5" s="1"/>
  <c r="M14" i="12"/>
  <c r="T14" i="11"/>
  <c r="E16" i="8"/>
  <c r="T15" i="11"/>
  <c r="T16" i="11"/>
  <c r="T19" i="11" s="1"/>
  <c r="M21" i="5" l="1"/>
  <c r="M17" i="5"/>
  <c r="M19" i="5"/>
  <c r="M23" i="5"/>
  <c r="M18" i="5"/>
  <c r="M16" i="5"/>
  <c r="M20" i="5"/>
  <c r="B9" i="1"/>
  <c r="P43" i="1"/>
  <c r="P41" i="1" l="1"/>
  <c r="P26" i="1"/>
  <c r="M43" i="1"/>
  <c r="P25" i="1"/>
  <c r="P5" i="16"/>
  <c r="M3" i="1"/>
  <c r="C20" i="5"/>
  <c r="M24" i="5"/>
  <c r="P3" i="1" l="1"/>
  <c r="P4" i="1"/>
  <c r="H57" i="1" s="1"/>
  <c r="M41" i="1"/>
  <c r="P35" i="1"/>
  <c r="P33" i="1" l="1"/>
  <c r="M35" i="1"/>
  <c r="H56" i="1"/>
  <c r="E56" i="1" l="1"/>
  <c r="G56" i="1"/>
  <c r="H52" i="1"/>
  <c r="H55" i="1"/>
  <c r="M33" i="1"/>
  <c r="P29" i="1"/>
  <c r="H47" i="1" l="1"/>
  <c r="M29" i="1"/>
  <c r="P18" i="1"/>
  <c r="P24" i="1"/>
  <c r="E55" i="1"/>
  <c r="H53" i="1"/>
  <c r="C19" i="7"/>
  <c r="C45" i="7" s="1"/>
  <c r="G57" i="1"/>
  <c r="C47" i="7" s="1"/>
  <c r="C46" i="7" l="1"/>
  <c r="C35" i="7" s="1"/>
  <c r="H48" i="1"/>
  <c r="G47" i="1"/>
  <c r="E47" i="1"/>
  <c r="H46" i="1" s="1"/>
  <c r="H43" i="1"/>
  <c r="M19" i="1"/>
  <c r="P13" i="1"/>
  <c r="M18" i="1"/>
  <c r="E52" i="1"/>
  <c r="C18" i="7" l="1"/>
  <c r="C44" i="7" s="1"/>
  <c r="C48" i="7" s="1"/>
  <c r="C49" i="7" s="1"/>
  <c r="C50" i="7" s="1"/>
  <c r="C51" i="7" s="1"/>
  <c r="G52" i="1"/>
  <c r="O27" i="1"/>
  <c r="O21" i="1"/>
  <c r="O19" i="1"/>
  <c r="O20" i="1"/>
  <c r="O22" i="1"/>
  <c r="O23" i="1"/>
  <c r="O26" i="1"/>
  <c r="O25" i="1"/>
  <c r="O24" i="1"/>
  <c r="G53" i="1"/>
  <c r="M13" i="1"/>
  <c r="E5" i="13"/>
  <c r="C17" i="8"/>
  <c r="C37" i="8" s="1"/>
  <c r="P14" i="1"/>
  <c r="P11" i="1" s="1"/>
  <c r="H33" i="1"/>
  <c r="H44" i="1"/>
  <c r="G48" i="1"/>
  <c r="H42" i="1"/>
  <c r="E46" i="1"/>
  <c r="G46" i="1" s="1"/>
  <c r="P11" i="16"/>
  <c r="P7" i="1" l="1"/>
  <c r="C16" i="8"/>
  <c r="M11" i="1"/>
  <c r="E3" i="13"/>
  <c r="B5" i="13"/>
  <c r="G5" i="13"/>
  <c r="G42" i="1"/>
  <c r="E42" i="1"/>
  <c r="G43" i="1" s="1"/>
  <c r="H34" i="1"/>
  <c r="M9" i="6"/>
  <c r="H35" i="1"/>
  <c r="G44" i="1"/>
  <c r="E6" i="13"/>
  <c r="M14" i="1"/>
  <c r="C18" i="8"/>
  <c r="C38" i="8" s="1"/>
  <c r="C39" i="8" s="1"/>
  <c r="C57" i="7"/>
  <c r="C54" i="7"/>
  <c r="C55" i="7" s="1"/>
  <c r="C59" i="7" s="1"/>
  <c r="M11" i="6" l="1"/>
  <c r="G3" i="13"/>
  <c r="B3" i="13"/>
  <c r="E33" i="1"/>
  <c r="G33" i="1" s="1"/>
  <c r="B6" i="13"/>
  <c r="E10" i="13"/>
  <c r="M10" i="6"/>
  <c r="G34" i="1"/>
  <c r="H30" i="1"/>
  <c r="L32" i="6"/>
  <c r="J9" i="6"/>
  <c r="C20" i="6" s="1"/>
  <c r="M5" i="1"/>
  <c r="P5" i="1"/>
  <c r="M7" i="1"/>
  <c r="B10" i="13" l="1"/>
  <c r="E16" i="13"/>
  <c r="E17" i="13"/>
  <c r="E11" i="13"/>
  <c r="E13" i="13"/>
  <c r="E12" i="13"/>
  <c r="E14" i="13"/>
  <c r="M14" i="9"/>
  <c r="E15" i="13"/>
  <c r="N32" i="6"/>
  <c r="K33" i="6"/>
  <c r="M32" i="6"/>
  <c r="O32" i="6" s="1"/>
  <c r="H21" i="1"/>
  <c r="M6" i="6"/>
  <c r="G35" i="1"/>
  <c r="J14" i="9" l="1"/>
  <c r="C47" i="9"/>
  <c r="C48" i="9" s="1"/>
  <c r="D14" i="13"/>
  <c r="E8" i="14"/>
  <c r="H18" i="1"/>
  <c r="M16" i="9"/>
  <c r="B11" i="13"/>
  <c r="M15" i="9"/>
  <c r="D11" i="13"/>
  <c r="L33" i="6"/>
  <c r="N33" i="6" s="1"/>
  <c r="M23" i="9"/>
  <c r="D17" i="13"/>
  <c r="D16" i="13"/>
  <c r="M22" i="9"/>
  <c r="M19" i="9"/>
  <c r="M21" i="9"/>
  <c r="D15" i="13"/>
  <c r="M17" i="9"/>
  <c r="D13" i="13"/>
  <c r="B19" i="13"/>
  <c r="K34" i="6" l="1"/>
  <c r="M33" i="6"/>
  <c r="J15" i="9"/>
  <c r="E5" i="14"/>
  <c r="H8" i="1"/>
  <c r="C49" i="9"/>
  <c r="C53" i="9" s="1"/>
  <c r="C51" i="9"/>
  <c r="C55" i="9" s="1"/>
  <c r="C50" i="9"/>
  <c r="C54" i="9" s="1"/>
  <c r="C52" i="9"/>
  <c r="C56" i="9" s="1"/>
  <c r="E40" i="9" s="1"/>
  <c r="E41" i="9" s="1"/>
  <c r="G19" i="13"/>
  <c r="B24" i="13"/>
  <c r="E19" i="13"/>
  <c r="M25" i="9" s="1"/>
  <c r="J25" i="9" s="1"/>
  <c r="G16" i="13"/>
  <c r="D12" i="13"/>
  <c r="B40" i="9" l="1"/>
  <c r="B41" i="9" s="1"/>
  <c r="D40" i="9"/>
  <c r="D41" i="9" s="1"/>
  <c r="H4" i="1"/>
  <c r="C40" i="9"/>
  <c r="C41" i="9" s="1"/>
  <c r="C18" i="10"/>
  <c r="E24" i="13"/>
  <c r="L34" i="6"/>
  <c r="M7" i="16" l="1"/>
  <c r="E26" i="13"/>
  <c r="M5" i="9"/>
  <c r="E25" i="13"/>
  <c r="N34" i="6"/>
  <c r="K35" i="6"/>
  <c r="M34" i="6"/>
  <c r="C61" i="9"/>
  <c r="C57" i="9"/>
  <c r="C58" i="9" s="1"/>
  <c r="M7" i="9" l="1"/>
  <c r="C18" i="9" s="1"/>
  <c r="B26" i="13"/>
  <c r="C19" i="10" s="1"/>
  <c r="C60" i="9"/>
  <c r="C62" i="9" s="1"/>
  <c r="C65" i="9" s="1"/>
  <c r="C66" i="9" s="1"/>
  <c r="C16" i="9"/>
  <c r="B25" i="13"/>
  <c r="M6" i="9"/>
  <c r="C17" i="9" s="1"/>
  <c r="M35" i="6"/>
  <c r="L35" i="6"/>
  <c r="E27" i="13"/>
  <c r="B27" i="13" l="1"/>
  <c r="C21" i="10" s="1"/>
  <c r="M8" i="9"/>
  <c r="C19" i="9" s="1"/>
  <c r="G25" i="13"/>
  <c r="N35" i="6"/>
  <c r="K36" i="6"/>
  <c r="C20" i="10"/>
  <c r="C36" i="10" s="1"/>
  <c r="C37" i="10" s="1"/>
  <c r="C38" i="10" s="1"/>
  <c r="C39" i="10" s="1"/>
  <c r="M9" i="16"/>
  <c r="B29" i="13"/>
  <c r="L36" i="6" l="1"/>
  <c r="G29" i="13"/>
  <c r="E29" i="13"/>
  <c r="M10" i="9" s="1"/>
  <c r="C20" i="9" s="1"/>
  <c r="B33" i="13"/>
  <c r="K37" i="6" l="1"/>
  <c r="N36" i="6"/>
  <c r="E33" i="13"/>
  <c r="B35" i="13"/>
  <c r="C16" i="10"/>
  <c r="M36" i="6"/>
  <c r="E35" i="13" l="1"/>
  <c r="P6" i="16" s="1"/>
  <c r="C17" i="10"/>
  <c r="L37" i="6"/>
  <c r="N37" i="6" l="1"/>
  <c r="C53" i="6"/>
  <c r="M37" i="6"/>
  <c r="O37" i="6" l="1"/>
  <c r="H28" i="1"/>
  <c r="H38" i="1"/>
  <c r="P14" i="16"/>
  <c r="B7" i="1" l="1"/>
  <c r="H29" i="1"/>
  <c r="E28" i="1" s="1"/>
  <c r="H31" i="1"/>
  <c r="M4" i="6"/>
  <c r="H23" i="1"/>
  <c r="H36" i="1"/>
  <c r="G30" i="1" l="1"/>
  <c r="G28" i="1"/>
  <c r="P10" i="16"/>
  <c r="E36" i="1"/>
  <c r="G38" i="1" s="1"/>
  <c r="E13" i="15"/>
  <c r="E31" i="1"/>
  <c r="G31" i="1" s="1"/>
  <c r="M7" i="6"/>
  <c r="E10" i="14"/>
  <c r="H16" i="1"/>
  <c r="H22" i="1"/>
  <c r="G29" i="1"/>
  <c r="M5" i="6"/>
  <c r="J4" i="6" s="1"/>
  <c r="C18" i="6" s="1"/>
  <c r="C54" i="6"/>
  <c r="C55" i="6" s="1"/>
  <c r="C49" i="6"/>
  <c r="C52" i="6"/>
  <c r="C50" i="6" l="1"/>
  <c r="C51" i="6"/>
  <c r="E10" i="15"/>
  <c r="B13" i="15"/>
  <c r="J22" i="12" s="1"/>
  <c r="M22" i="12"/>
  <c r="C19" i="12" s="1"/>
  <c r="E11" i="15"/>
  <c r="H10" i="1"/>
  <c r="E3" i="14"/>
  <c r="E9" i="14"/>
  <c r="G22" i="1"/>
  <c r="D9" i="14" s="1"/>
  <c r="H19" i="1"/>
  <c r="C17" i="5"/>
  <c r="E21" i="1"/>
  <c r="J7" i="6"/>
  <c r="C19" i="6" s="1"/>
  <c r="M12" i="6"/>
  <c r="J12" i="6" s="1"/>
  <c r="G36" i="1"/>
  <c r="C21" i="6" l="1"/>
  <c r="L12" i="6"/>
  <c r="E6" i="15"/>
  <c r="B10" i="15"/>
  <c r="J19" i="12" s="1"/>
  <c r="M19" i="12"/>
  <c r="C17" i="12" s="1"/>
  <c r="H9" i="1"/>
  <c r="E6" i="14"/>
  <c r="M20" i="12"/>
  <c r="C18" i="12" s="1"/>
  <c r="M10" i="16"/>
  <c r="B11" i="15"/>
  <c r="J20" i="12" s="1"/>
  <c r="H3" i="1"/>
  <c r="H17" i="1"/>
  <c r="B8" i="14"/>
  <c r="G21" i="1"/>
  <c r="D8" i="14" s="1"/>
  <c r="G23" i="1"/>
  <c r="D10" i="14" s="1"/>
  <c r="M5" i="16" l="1"/>
  <c r="M6" i="11"/>
  <c r="C18" i="11" s="1"/>
  <c r="B6" i="15"/>
  <c r="J6" i="11" s="1"/>
  <c r="E5" i="15"/>
  <c r="E3" i="15"/>
  <c r="H5" i="1"/>
  <c r="H11" i="1"/>
  <c r="E4" i="14"/>
  <c r="H24" i="1"/>
  <c r="E16" i="1"/>
  <c r="G17" i="1" s="1"/>
  <c r="D4" i="14" s="1"/>
  <c r="C31" i="12"/>
  <c r="C33" i="12" s="1"/>
  <c r="J7" i="12"/>
  <c r="M3" i="11" l="1"/>
  <c r="C16" i="11" s="1"/>
  <c r="C33" i="11" s="1"/>
  <c r="C35" i="11" s="1"/>
  <c r="B3" i="15"/>
  <c r="J3" i="11" s="1"/>
  <c r="M8" i="16"/>
  <c r="E24" i="1"/>
  <c r="B11" i="14" s="1"/>
  <c r="E11" i="14"/>
  <c r="E15" i="14" s="1"/>
  <c r="G24" i="1"/>
  <c r="D11" i="14" s="1"/>
  <c r="C18" i="5"/>
  <c r="P12" i="16"/>
  <c r="B5" i="15"/>
  <c r="J5" i="11" s="1"/>
  <c r="M5" i="11"/>
  <c r="C17" i="11" s="1"/>
  <c r="H6" i="1"/>
  <c r="E8" i="1"/>
  <c r="M11" i="16"/>
  <c r="C16" i="5"/>
  <c r="C21" i="5" s="1"/>
  <c r="C33" i="5" s="1"/>
  <c r="C34" i="5" s="1"/>
  <c r="B3" i="14"/>
  <c r="G4" i="14" s="1"/>
  <c r="G18" i="1"/>
  <c r="D5" i="14" s="1"/>
  <c r="G16" i="1"/>
  <c r="D3" i="14" s="1"/>
  <c r="G19" i="1"/>
  <c r="D6" i="14" s="1"/>
  <c r="E17" i="14" l="1"/>
  <c r="G8" i="1"/>
  <c r="G10" i="1"/>
  <c r="G9" i="1"/>
  <c r="C35" i="5"/>
  <c r="C37" i="5"/>
  <c r="C36" i="5"/>
  <c r="G6" i="1"/>
  <c r="M6" i="16"/>
  <c r="M13" i="16" s="1"/>
  <c r="B15" i="14"/>
  <c r="G15" i="14" s="1"/>
  <c r="G9" i="14"/>
  <c r="G11" i="1"/>
  <c r="D3" i="15"/>
  <c r="L3" i="11" s="1"/>
  <c r="E3" i="1"/>
  <c r="B17" i="14" l="1"/>
  <c r="E22" i="14"/>
  <c r="B24" i="14" s="1"/>
  <c r="G4" i="1"/>
  <c r="G3" i="1"/>
  <c r="G5" i="1"/>
  <c r="E18" i="14"/>
  <c r="B18" i="14" l="1"/>
  <c r="P13" i="16"/>
  <c r="G24" i="14"/>
  <c r="E24" i="14"/>
  <c r="P7" i="16" s="1"/>
  <c r="P8" i="16" s="1"/>
  <c r="B22" i="14"/>
  <c r="G22" i="14" s="1"/>
  <c r="G17" i="14"/>
  <c r="O24" i="16" l="1"/>
  <c r="P15" i="16"/>
  <c r="L29" i="16"/>
  <c r="P17" i="16"/>
  <c r="S17" i="16" s="1"/>
</calcChain>
</file>

<file path=xl/sharedStrings.xml><?xml version="1.0" encoding="utf-8"?>
<sst xmlns="http://schemas.openxmlformats.org/spreadsheetml/2006/main" count="1551" uniqueCount="716">
  <si>
    <t>Entradas</t>
  </si>
  <si>
    <t>Salidas</t>
  </si>
  <si>
    <t>Especie</t>
  </si>
  <si>
    <t>Valor</t>
  </si>
  <si>
    <t>Unidad</t>
  </si>
  <si>
    <t>Pepa</t>
  </si>
  <si>
    <t>[kg/semana]</t>
  </si>
  <si>
    <t>Bebida de almendra</t>
  </si>
  <si>
    <t>Cáscara</t>
  </si>
  <si>
    <t>Queso de Almendra</t>
  </si>
  <si>
    <t>Piel</t>
  </si>
  <si>
    <t>Pellet de almendra</t>
  </si>
  <si>
    <t>Agua Cruda</t>
  </si>
  <si>
    <t>Total</t>
  </si>
  <si>
    <t>Aditivos</t>
  </si>
  <si>
    <t>Ácido hipocloroso</t>
  </si>
  <si>
    <t>Agua eliminada</t>
  </si>
  <si>
    <t>Agua en pepa</t>
  </si>
  <si>
    <t>Piel de almendra</t>
  </si>
  <si>
    <t>Lodos</t>
  </si>
  <si>
    <t>Cáscara perdida</t>
  </si>
  <si>
    <t>Antinutriente</t>
  </si>
  <si>
    <t>Datos</t>
  </si>
  <si>
    <t>Equipo: Descascaradora</t>
  </si>
  <si>
    <t>Equipo: moledor</t>
  </si>
  <si>
    <t>Flujo [m3/año] de bebida de almendra</t>
  </si>
  <si>
    <t xml:space="preserve">Nombre corriente </t>
  </si>
  <si>
    <t>Entrada [Kg/semana]</t>
  </si>
  <si>
    <t>Fracción másica</t>
  </si>
  <si>
    <t>Masa en corriente </t>
  </si>
  <si>
    <t>Nombre corriente</t>
  </si>
  <si>
    <t xml:space="preserve">Fracción másica </t>
  </si>
  <si>
    <t>Masa en corriente</t>
  </si>
  <si>
    <t>Referencias</t>
  </si>
  <si>
    <t>Densidad del agua a 25°C [kg/m3]</t>
  </si>
  <si>
    <t>F2</t>
  </si>
  <si>
    <t>Pepa con antinutriente</t>
  </si>
  <si>
    <t>F12</t>
  </si>
  <si>
    <t>[1] C. Aydin, “Physical properties of almond nut and kernel,” J. Food Eng., vol. 60, no. 3, pp. 315–320, 2003.</t>
  </si>
  <si>
    <t>Densidad real de la pepa de almendra [kg/m3] [1]</t>
  </si>
  <si>
    <t>[2] J. O. Perry, Robert H , Gree, Don W, Maloney, Perry’s Chemical Engineers’ Handbook. 1997.</t>
  </si>
  <si>
    <t>Densidad del poro de almendra [kg/m3]</t>
  </si>
  <si>
    <t>F14</t>
  </si>
  <si>
    <t>Agua potabilizada</t>
  </si>
  <si>
    <t>[3]  V. Phogat, M. Mahadevan, M. Skewes, and J. W. Cox, “Modelling soil water and salt dynamics under pulsed and continuous surface drip irrigation of almond and implications of system design,” Irrig. Sci., vol. 30, no. 4, pp. 315–333, 2012.</t>
  </si>
  <si>
    <t>Densidad de agua a 60°C [kg/m3] [2]</t>
  </si>
  <si>
    <t>Salida [Kg/semana]</t>
  </si>
  <si>
    <t>[4]G. Huang, “Hot air roasting of almonds,” Calif. almonds, no. july, pp. 1–5, 2014.</t>
  </si>
  <si>
    <t>Masa que puede absorber el poro de la almendra [kg/semana]</t>
  </si>
  <si>
    <t>F15</t>
  </si>
  <si>
    <t>Bebida 1</t>
  </si>
  <si>
    <t xml:space="preserve">[5]  M. B. Jacques Berger, Guilaine Bravay, “United States Patent (19) 11 Patent Number: 5,656,321.” </t>
  </si>
  <si>
    <t>Densidad de la leche de almendra [kg/m3]</t>
  </si>
  <si>
    <t>F3</t>
  </si>
  <si>
    <t xml:space="preserve">Piel </t>
  </si>
  <si>
    <t xml:space="preserve">[6] F. Application et al., “United States Patent (19),” U.S. Pat. 5976719, no. 19, 1999.  </t>
  </si>
  <si>
    <t>Flujo de leche de almendra [kg/año]</t>
  </si>
  <si>
    <t>Equipo: Filtro Prensa</t>
  </si>
  <si>
    <t xml:space="preserve">[7] Zheng Hanmin, “Preparation of almond peanut milk. </t>
  </si>
  <si>
    <t>(ug/L)</t>
  </si>
  <si>
    <t>Entrada [kg/semana]</t>
  </si>
  <si>
    <t>[8] C. Aydin, “Physical properties of almond nut and kernel,” J. Food Eng., vol. 60, no. 3, pp. 315–320, 2003.</t>
  </si>
  <si>
    <t>*Vitamina A (DDR: 800 [ug])</t>
  </si>
  <si>
    <t>*Vitamina B12 (DDR: 1 [ug])</t>
  </si>
  <si>
    <t>*Vitamina D (DDR: 5 [ug])</t>
  </si>
  <si>
    <t>F16</t>
  </si>
  <si>
    <t>Bebida 2</t>
  </si>
  <si>
    <t>(mg/L)</t>
  </si>
  <si>
    <t>Equipo: Ciclón</t>
  </si>
  <si>
    <t>F17</t>
  </si>
  <si>
    <t>Pasta de Almendra</t>
  </si>
  <si>
    <t>*Calcio (DDR: 800 [mg])</t>
  </si>
  <si>
    <t>Equipo: Mezclador</t>
  </si>
  <si>
    <t>Entrada[kg/semana]</t>
  </si>
  <si>
    <t>piel</t>
  </si>
  <si>
    <t>Equipo</t>
  </si>
  <si>
    <t>Supuesto Balance de Masa</t>
  </si>
  <si>
    <t>Referencia</t>
  </si>
  <si>
    <t>Otros supuestos</t>
  </si>
  <si>
    <t>agua en pepa</t>
  </si>
  <si>
    <t>F18</t>
  </si>
  <si>
    <t>Proteina (Legumina)</t>
  </si>
  <si>
    <t>Triturador de cáscara</t>
  </si>
  <si>
    <t>El equipo entrega una línea donde se juntan las cáscaras y las pepas, las pepas ingresan con un 3% de humedad.</t>
  </si>
  <si>
    <t>[8]</t>
  </si>
  <si>
    <t>No se considera acumulación en ninguín equipo.</t>
  </si>
  <si>
    <t>Vitamina A</t>
  </si>
  <si>
    <t>F4</t>
  </si>
  <si>
    <t>Vitamina B12</t>
  </si>
  <si>
    <t>Vitamina D</t>
  </si>
  <si>
    <t>La densidad de la bebida de almendras corresponde a una ponderación de la densidad del agua y la almendra. Se tiene  un 4,5% de almendra en la bebida y se supone que los aditivos no influyen en la densidad: por lo que se considera un 95,5% de agua.</t>
  </si>
  <si>
    <t>Calcio (carbonato de calcio)</t>
  </si>
  <si>
    <t>Tanque de remojo</t>
  </si>
  <si>
    <t>El volumen de agua es igual al volumen de pepas. Las pepas solo absorbe agua por los poros</t>
  </si>
  <si>
    <t>-</t>
  </si>
  <si>
    <t>F5</t>
  </si>
  <si>
    <t>Estabilizante (fosfato tricálcico)</t>
  </si>
  <si>
    <t>Espesante (carragenanos)</t>
  </si>
  <si>
    <t>Equipo: Tanque de remojo</t>
  </si>
  <si>
    <t>Emulsionante (lecitina)</t>
  </si>
  <si>
    <t>Blanqueador</t>
  </si>
  <si>
    <t>La piel de la pepa representa el 4% en peso [3]</t>
  </si>
  <si>
    <t>[3]</t>
  </si>
  <si>
    <t>Azúcar</t>
  </si>
  <si>
    <t>F6</t>
  </si>
  <si>
    <t>Tratamiento térmico</t>
  </si>
  <si>
    <t>Se retira el 4% de la humedad de la pepa [4]</t>
  </si>
  <si>
    <t>[4]</t>
  </si>
  <si>
    <t>F19</t>
  </si>
  <si>
    <t>Bebida 3</t>
  </si>
  <si>
    <t>F7</t>
  </si>
  <si>
    <t>Equipo: Homogenizador</t>
  </si>
  <si>
    <t>Filtro Prensa</t>
  </si>
  <si>
    <t>La bebida resultante debe ser 95.5% de agua y 4,5% de pepa. La Pasta de almendra debe ser 90% pepa y 10% agua [6]</t>
  </si>
  <si>
    <t>[6]</t>
  </si>
  <si>
    <t>F8</t>
  </si>
  <si>
    <t>Bebida3</t>
  </si>
  <si>
    <t>F20</t>
  </si>
  <si>
    <t>Bebida4</t>
  </si>
  <si>
    <t>Mezclador 1</t>
  </si>
  <si>
    <t>La formulación es creada es para tener:6[g/200 ml] de proteína, 8[g/200 ml] de azúcar, tener 30% de vitamina A, 76% de B12, 40% vitamina D, y 30% de calcio (de la dosis diaria recomendada) y poseer 0,1% de espesante, 0,1% de emulsionante y 0,1% de estabilizante (del total de bebida). [7]</t>
  </si>
  <si>
    <t>[7]</t>
  </si>
  <si>
    <t>F9</t>
  </si>
  <si>
    <t xml:space="preserve">Agua eliminada </t>
  </si>
  <si>
    <t>Equipo: Pasteurizador</t>
  </si>
  <si>
    <t>Equipo:Blanqueador</t>
  </si>
  <si>
    <t>Fracción másica </t>
  </si>
  <si>
    <t>Homogenizador</t>
  </si>
  <si>
    <t>Entrada es igual a la salida y se mantienen composiciones.</t>
  </si>
  <si>
    <t>Pasteurizador</t>
  </si>
  <si>
    <t xml:space="preserve">Pepa </t>
  </si>
  <si>
    <t>F21</t>
  </si>
  <si>
    <t>Leche de almendra</t>
  </si>
  <si>
    <t>[L/semana]</t>
  </si>
  <si>
    <t>Agua</t>
  </si>
  <si>
    <t>Especie+F45</t>
  </si>
  <si>
    <t>F11</t>
  </si>
  <si>
    <t>F10</t>
  </si>
  <si>
    <t>Equipo: Tratamiento térmico</t>
  </si>
  <si>
    <t>F13</t>
  </si>
  <si>
    <t>Agua (Eliminada del sistema)</t>
  </si>
  <si>
    <t>Composición del "Queso de almendra" [%]</t>
  </si>
  <si>
    <t>pepa</t>
  </si>
  <si>
    <t>sal</t>
  </si>
  <si>
    <t>carragenina</t>
  </si>
  <si>
    <t>goma xanta</t>
  </si>
  <si>
    <t>fosfato tricalcico</t>
  </si>
  <si>
    <t>Equipo: Mezclador 2</t>
  </si>
  <si>
    <t>fosfato trisódico</t>
  </si>
  <si>
    <t>acido sórbico</t>
  </si>
  <si>
    <t>acido citrico</t>
  </si>
  <si>
    <t>F22</t>
  </si>
  <si>
    <t>Sal</t>
  </si>
  <si>
    <t>Carragenina</t>
  </si>
  <si>
    <t>Goma Xantana</t>
  </si>
  <si>
    <t>Fosfato tricálcico</t>
  </si>
  <si>
    <t>Fosfato trisódico</t>
  </si>
  <si>
    <t>Ácido sórbico</t>
  </si>
  <si>
    <t>Ácido citrico</t>
  </si>
  <si>
    <t>F23</t>
  </si>
  <si>
    <t>Premezcla</t>
  </si>
  <si>
    <t>Equipo: Reactor de catálisis ácida</t>
  </si>
  <si>
    <t>F24</t>
  </si>
  <si>
    <t>Aceite</t>
  </si>
  <si>
    <t>F25</t>
  </si>
  <si>
    <t>F26</t>
  </si>
  <si>
    <t>Ácido cítrico</t>
  </si>
  <si>
    <t>F27</t>
  </si>
  <si>
    <t>Mezcla</t>
  </si>
  <si>
    <t>Equipo: Autoclave</t>
  </si>
  <si>
    <t>F28</t>
  </si>
  <si>
    <t>Queso</t>
  </si>
  <si>
    <t>Supuestos</t>
  </si>
  <si>
    <t>La formulación del queso se obtuvo por bibliografía [1]</t>
  </si>
  <si>
    <t>La cantidad de ácido cítrico que entran al reactor son los necesarios para bajar el pH 7 a 3 [2]</t>
  </si>
  <si>
    <t>referencias</t>
  </si>
  <si>
    <t xml:space="preserve">[1]N. N. Danilo Callewaert, Greet Festjens, “ES 2 460 668 T3.” </t>
  </si>
  <si>
    <t>[2] Sverdberg T., Sjgren B. (1930). The ph-stability regions of serum albumin and of serum globulin [Consulta: 3 de noviembre de 2018</t>
  </si>
  <si>
    <t>Equipo: Moledor 2</t>
  </si>
  <si>
    <t>F29</t>
  </si>
  <si>
    <t>Cáscara molida</t>
  </si>
  <si>
    <t>F30</t>
  </si>
  <si>
    <t>Cáscara Perdida</t>
  </si>
  <si>
    <t>Equipo: Pelletizadora</t>
  </si>
  <si>
    <t>F31</t>
  </si>
  <si>
    <t>La eficiencia d ela molienda es del 80% [1]</t>
  </si>
  <si>
    <t xml:space="preserve">[1]A. M. Osorio, J. M. Marín, and G. Restrepo, “Diseño y evaluación energética de dos circuitos de molienda y clasificación para un clinker de cemento a escala piloto,” Inf. Tecnol., vol. 24, no. 2, pp. 99–108, 2013. </t>
  </si>
  <si>
    <t>Equipo: Sedimentador</t>
  </si>
  <si>
    <t>F32</t>
  </si>
  <si>
    <t>F33</t>
  </si>
  <si>
    <t>F34</t>
  </si>
  <si>
    <t>Agua sin sedimentos</t>
  </si>
  <si>
    <t>Equipo: PFR</t>
  </si>
  <si>
    <t>F35</t>
  </si>
  <si>
    <t>Ácido Hipocloroso</t>
  </si>
  <si>
    <t>F36</t>
  </si>
  <si>
    <t>Agua Potabilizada</t>
  </si>
  <si>
    <t>Los lodos poseen un 20% de humedad [1]</t>
  </si>
  <si>
    <t>La densidad del agua no cambia</t>
  </si>
  <si>
    <t xml:space="preserve">[1]J. A. Barrios, “Aspectos generales del manejo de lodos,” Curso sobre manejo y Aprovech. lodos provenientes plantas Trat., p. 96, 2009. </t>
  </si>
  <si>
    <t>Ecuación de diseño </t>
  </si>
  <si>
    <t>Relaciones </t>
  </si>
  <si>
    <t xml:space="preserve">Datos bibliográficos </t>
  </si>
  <si>
    <t>GRANULOMETRÍA CÁSCARA</t>
  </si>
  <si>
    <t>Descripción</t>
  </si>
  <si>
    <t>Símbolo</t>
  </si>
  <si>
    <t>Magnitud</t>
  </si>
  <si>
    <t>Unidades</t>
  </si>
  <si>
    <t xml:space="preserve">Referencia </t>
  </si>
  <si>
    <t>d [mm]</t>
  </si>
  <si>
    <t>masa [gr]</t>
  </si>
  <si>
    <t>mi/di3</t>
  </si>
  <si>
    <t>f</t>
  </si>
  <si>
    <t xml:space="preserve">Flujo másico de entrada al ciclón </t>
  </si>
  <si>
    <t>0,01-0,125</t>
  </si>
  <si>
    <t>Flujo másico de salida de pepa, agua y piel </t>
  </si>
  <si>
    <t>0,125-0,25</t>
  </si>
  <si>
    <t>Flujo másico de salida de cáscara</t>
  </si>
  <si>
    <t>0,25-0,5</t>
  </si>
  <si>
    <t>Rango concentración de partículas en el gas </t>
  </si>
  <si>
    <r>
      <t>C</t>
    </r>
    <r>
      <rPr>
        <vertAlign val="subscript"/>
        <sz val="12"/>
        <color rgb="FF000000"/>
        <rFont val="Calibri"/>
        <family val="2"/>
        <scheme val="minor"/>
      </rPr>
      <t>sólidos</t>
    </r>
  </si>
  <si>
    <t xml:space="preserve">2 a 230 </t>
  </si>
  <si>
    <t>[g/m3]</t>
  </si>
  <si>
    <t xml:space="preserve">Para ciclones convencionales </t>
  </si>
  <si>
    <t>[1]</t>
  </si>
  <si>
    <t>0,5-1</t>
  </si>
  <si>
    <t>Diámetro de corte partículas sólidas</t>
  </si>
  <si>
    <r>
      <t>d</t>
    </r>
    <r>
      <rPr>
        <vertAlign val="subscript"/>
        <sz val="12"/>
        <color rgb="FF000000"/>
        <rFont val="Calibri"/>
        <family val="2"/>
        <scheme val="minor"/>
      </rPr>
      <t>50</t>
    </r>
  </si>
  <si>
    <t>[m]</t>
  </si>
  <si>
    <t>Seleccionando el menor diámetro permitido en el equipo triturador</t>
  </si>
  <si>
    <t>[2]</t>
  </si>
  <si>
    <t>1,0-2,0</t>
  </si>
  <si>
    <t xml:space="preserve">Flujo másico de entrada en segundos </t>
  </si>
  <si>
    <r>
      <t>F</t>
    </r>
    <r>
      <rPr>
        <vertAlign val="subscript"/>
        <sz val="12"/>
        <color theme="1"/>
        <rFont val="Calibri"/>
        <family val="2"/>
        <scheme val="minor"/>
      </rPr>
      <t>requerido</t>
    </r>
  </si>
  <si>
    <t>[g/s]</t>
  </si>
  <si>
    <t xml:space="preserve">Para calcularlo se asume que el ciclón solo trabaja una hora al día. </t>
  </si>
  <si>
    <t>2,0-4,0</t>
  </si>
  <si>
    <t>Viscosidad dinámica del aire </t>
  </si>
  <si>
    <t>µ</t>
  </si>
  <si>
    <t>[kg/(m·s)]</t>
  </si>
  <si>
    <t>Temperatura del aire a 30°C</t>
  </si>
  <si>
    <t xml:space="preserve">4,0-8,0 </t>
  </si>
  <si>
    <t>Densidad del aire</t>
  </si>
  <si>
    <r>
      <t>ρ</t>
    </r>
    <r>
      <rPr>
        <vertAlign val="subscript"/>
        <sz val="12"/>
        <color theme="1"/>
        <rFont val="Calibri"/>
        <family val="2"/>
      </rPr>
      <t>f</t>
    </r>
  </si>
  <si>
    <r>
      <t>[kg/m</t>
    </r>
    <r>
      <rPr>
        <vertAlign val="superscript"/>
        <sz val="12"/>
        <color theme="1"/>
        <rFont val="Calibri"/>
        <family val="2"/>
        <scheme val="minor"/>
      </rPr>
      <t>3</t>
    </r>
    <r>
      <rPr>
        <sz val="12"/>
        <color theme="1"/>
        <rFont val="Calibri"/>
        <family val="2"/>
        <scheme val="minor"/>
      </rPr>
      <t>]</t>
    </r>
  </si>
  <si>
    <t xml:space="preserve">8,0-16,0 </t>
  </si>
  <si>
    <t>Densidad del sólido a separar (cáscara)</t>
  </si>
  <si>
    <r>
      <t>ρ</t>
    </r>
    <r>
      <rPr>
        <vertAlign val="subscript"/>
        <sz val="12"/>
        <color theme="1"/>
        <rFont val="Calibri"/>
        <family val="2"/>
        <scheme val="minor"/>
      </rPr>
      <t>s</t>
    </r>
  </si>
  <si>
    <t xml:space="preserve">Supuestos </t>
  </si>
  <si>
    <t xml:space="preserve">Concentración de partículas en el gas </t>
  </si>
  <si>
    <r>
      <t>C</t>
    </r>
    <r>
      <rPr>
        <vertAlign val="subscript"/>
        <sz val="12"/>
        <color rgb="FF000000"/>
        <rFont val="Calibri"/>
        <family val="2"/>
        <scheme val="minor"/>
      </rPr>
      <t>sólido1</t>
    </r>
  </si>
  <si>
    <t>Se selecciona una concentración dentro del rango.</t>
  </si>
  <si>
    <t>Parámetros calculados</t>
  </si>
  <si>
    <t>Ecuación</t>
  </si>
  <si>
    <t>Caudal a separar</t>
  </si>
  <si>
    <t>Q</t>
  </si>
  <si>
    <t>[m3/s]</t>
  </si>
  <si>
    <t>Q=Frequerido/Csólido1</t>
  </si>
  <si>
    <t>Diámetro del cilindro</t>
  </si>
  <si>
    <r>
      <t>D</t>
    </r>
    <r>
      <rPr>
        <vertAlign val="subscript"/>
        <sz val="12"/>
        <color rgb="FF000000"/>
        <rFont val="Calibri"/>
        <family val="2"/>
        <scheme val="minor"/>
      </rPr>
      <t>c</t>
    </r>
  </si>
  <si>
    <r>
      <t>D</t>
    </r>
    <r>
      <rPr>
        <vertAlign val="subscript"/>
        <sz val="12"/>
        <color rgb="FF000000"/>
        <rFont val="Calibri"/>
        <family val="2"/>
        <scheme val="minor"/>
      </rPr>
      <t>c</t>
    </r>
    <r>
      <rPr>
        <sz val="12"/>
        <color rgb="FF000000"/>
        <rFont val="Calibri"/>
        <family val="2"/>
        <scheme val="minor"/>
      </rPr>
      <t>=(d</t>
    </r>
    <r>
      <rPr>
        <vertAlign val="subscript"/>
        <sz val="12"/>
        <color rgb="FF000000"/>
        <rFont val="Calibri"/>
        <family val="2"/>
        <scheme val="minor"/>
      </rPr>
      <t>50</t>
    </r>
    <r>
      <rPr>
        <sz val="12"/>
        <color rgb="FF000000"/>
        <rFont val="Calibri"/>
        <family val="2"/>
        <scheme val="minor"/>
      </rPr>
      <t>/(17,6*10</t>
    </r>
    <r>
      <rPr>
        <vertAlign val="superscript"/>
        <sz val="12"/>
        <color rgb="FF000000"/>
        <rFont val="Calibri"/>
        <family val="2"/>
        <scheme val="minor"/>
      </rPr>
      <t>-3</t>
    </r>
    <r>
      <rPr>
        <sz val="12"/>
        <color rgb="FF000000"/>
        <rFont val="Calibri"/>
        <family val="2"/>
        <scheme val="minor"/>
      </rPr>
      <t>*(</t>
    </r>
    <r>
      <rPr>
        <sz val="12"/>
        <color rgb="FF000000"/>
        <rFont val="Calibri"/>
        <family val="2"/>
      </rPr>
      <t>µ/Q*(ρ</t>
    </r>
    <r>
      <rPr>
        <vertAlign val="subscript"/>
        <sz val="12"/>
        <color rgb="FF000000"/>
        <rFont val="Calibri"/>
        <family val="2"/>
      </rPr>
      <t>s</t>
    </r>
    <r>
      <rPr>
        <sz val="12"/>
        <color rgb="FF000000"/>
        <rFont val="Calibri"/>
        <family val="2"/>
      </rPr>
      <t>- ρ</t>
    </r>
    <r>
      <rPr>
        <vertAlign val="subscript"/>
        <sz val="12"/>
        <color rgb="FF000000"/>
        <rFont val="Calibri"/>
        <family val="2"/>
      </rPr>
      <t>f</t>
    </r>
    <r>
      <rPr>
        <sz val="12"/>
        <color rgb="FF000000"/>
        <rFont val="Calibri"/>
        <family val="2"/>
      </rPr>
      <t>)</t>
    </r>
    <r>
      <rPr>
        <sz val="12"/>
        <color rgb="FF000000"/>
        <rFont val="Calibri"/>
        <family val="2"/>
        <scheme val="minor"/>
      </rPr>
      <t>)</t>
    </r>
    <r>
      <rPr>
        <vertAlign val="superscript"/>
        <sz val="12"/>
        <color rgb="FF000000"/>
        <rFont val="Calibri"/>
        <family val="2"/>
        <scheme val="minor"/>
      </rPr>
      <t>0,5</t>
    </r>
    <r>
      <rPr>
        <sz val="12"/>
        <color rgb="FF000000"/>
        <rFont val="Calibri"/>
        <family val="2"/>
        <scheme val="minor"/>
      </rPr>
      <t>))</t>
    </r>
    <r>
      <rPr>
        <vertAlign val="superscript"/>
        <sz val="12"/>
        <color rgb="FF000000"/>
        <rFont val="Calibri"/>
        <family val="2"/>
        <scheme val="minor"/>
      </rPr>
      <t>(1/1,5)</t>
    </r>
  </si>
  <si>
    <t>Diámetro entrada</t>
  </si>
  <si>
    <r>
      <t>D</t>
    </r>
    <r>
      <rPr>
        <vertAlign val="subscript"/>
        <sz val="12"/>
        <color rgb="FF000000"/>
        <rFont val="Calibri"/>
        <family val="2"/>
        <scheme val="minor"/>
      </rPr>
      <t>i</t>
    </r>
  </si>
  <si>
    <r>
      <t>D</t>
    </r>
    <r>
      <rPr>
        <vertAlign val="subscript"/>
        <sz val="12"/>
        <color rgb="FF000000"/>
        <rFont val="Calibri"/>
        <family val="2"/>
        <scheme val="minor"/>
      </rPr>
      <t>i</t>
    </r>
    <r>
      <rPr>
        <sz val="12"/>
        <color rgb="FF000000"/>
        <rFont val="Calibri"/>
        <family val="2"/>
        <scheme val="minor"/>
      </rPr>
      <t>=0,133*D</t>
    </r>
    <r>
      <rPr>
        <vertAlign val="subscript"/>
        <sz val="12"/>
        <color rgb="FF000000"/>
        <rFont val="Calibri"/>
        <family val="2"/>
        <scheme val="minor"/>
      </rPr>
      <t>c</t>
    </r>
  </si>
  <si>
    <t>Diámetro overflow</t>
  </si>
  <si>
    <r>
      <t>D</t>
    </r>
    <r>
      <rPr>
        <vertAlign val="subscript"/>
        <sz val="12"/>
        <color rgb="FF000000"/>
        <rFont val="Calibri"/>
        <family val="2"/>
        <scheme val="minor"/>
      </rPr>
      <t>o</t>
    </r>
  </si>
  <si>
    <r>
      <t>D</t>
    </r>
    <r>
      <rPr>
        <vertAlign val="subscript"/>
        <sz val="12"/>
        <color rgb="FF000000"/>
        <rFont val="Calibri"/>
        <family val="2"/>
        <scheme val="minor"/>
      </rPr>
      <t>o</t>
    </r>
    <r>
      <rPr>
        <sz val="12"/>
        <color rgb="FF000000"/>
        <rFont val="Calibri"/>
        <family val="2"/>
        <scheme val="minor"/>
      </rPr>
      <t>=0,2*D</t>
    </r>
    <r>
      <rPr>
        <vertAlign val="subscript"/>
        <sz val="12"/>
        <color rgb="FF000000"/>
        <rFont val="Calibri"/>
        <family val="2"/>
        <scheme val="minor"/>
      </rPr>
      <t>c</t>
    </r>
  </si>
  <si>
    <t>Largo ciclón</t>
  </si>
  <si>
    <t>L</t>
  </si>
  <si>
    <r>
      <t>L=6,85*D</t>
    </r>
    <r>
      <rPr>
        <vertAlign val="subscript"/>
        <sz val="12"/>
        <color rgb="FF000000"/>
        <rFont val="Calibri"/>
        <family val="2"/>
        <scheme val="minor"/>
      </rPr>
      <t>c</t>
    </r>
  </si>
  <si>
    <t>VER EFICIENCIA!</t>
  </si>
  <si>
    <t>[1] J. L. Bahamondes, “Diseño Y Construccion De Un Separador Ciclonico Para La Industria Naval,” Univ. austral chile, 2006.</t>
  </si>
  <si>
    <t>[2] A. Arrabal, “1 - Denominación Del Material,” p. 229.</t>
  </si>
  <si>
    <t>[3] ҪENGEL, Yunus A. y John M. CIMBALA, “Mecánica de fluidos: Fundamentos y
aplicaciones”, 1ª edición, McGraw-Hill, 2006. Tabla A-9.</t>
  </si>
  <si>
    <t>Vremojo=Vagua+Vpepa</t>
  </si>
  <si>
    <t>Numero de etapas</t>
  </si>
  <si>
    <t xml:space="preserve">N=F agua en pepa final /Fagua absorbido </t>
  </si>
  <si>
    <t>Agua+antinutrientes</t>
  </si>
  <si>
    <t>El antinutriente principal a lixiviar es el ácido Fítico</t>
  </si>
  <si>
    <t>Flujo de pepa, agua en pepa y piel de almendra</t>
  </si>
  <si>
    <t>[Kg/semana]</t>
  </si>
  <si>
    <t>Flujo de agua potabilizada</t>
  </si>
  <si>
    <t>Flujo de pepa, agua en pepa y piel de alemndra</t>
  </si>
  <si>
    <t>Flujo de agua con antinutrientes</t>
  </si>
  <si>
    <r>
      <t>%</t>
    </r>
    <r>
      <rPr>
        <sz val="10"/>
        <color theme="1"/>
        <rFont val="Calibri"/>
        <family val="2"/>
        <scheme val="minor"/>
      </rPr>
      <t>Af</t>
    </r>
  </si>
  <si>
    <t>%</t>
  </si>
  <si>
    <t>El porcentaje es con respecto a la pepa seca de la almendra</t>
  </si>
  <si>
    <t>Porcentaje de ácido fítico en alimentos procesados de almendra</t>
  </si>
  <si>
    <r>
      <t>%</t>
    </r>
    <r>
      <rPr>
        <sz val="9"/>
        <color theme="1"/>
        <rFont val="Calibri"/>
        <family val="2"/>
        <scheme val="minor"/>
      </rPr>
      <t>AFP</t>
    </r>
  </si>
  <si>
    <t>Se asume que los alimentos a base de alemndra deben tener este porcentaje de antinutriente</t>
  </si>
  <si>
    <t>Densidad pepa de almendra</t>
  </si>
  <si>
    <r>
      <t>ρ</t>
    </r>
    <r>
      <rPr>
        <vertAlign val="subscript"/>
        <sz val="12"/>
        <color theme="1"/>
        <rFont val="Calibri"/>
        <family val="2"/>
        <scheme val="minor"/>
      </rPr>
      <t>pepa</t>
    </r>
    <r>
      <rPr>
        <vertAlign val="subscript"/>
        <sz val="11"/>
        <color theme="1"/>
        <rFont val="Calibri"/>
        <family val="2"/>
        <scheme val="minor"/>
      </rPr>
      <t>poro</t>
    </r>
  </si>
  <si>
    <t>Densidad de pepa de almendra con poro</t>
  </si>
  <si>
    <r>
      <t>ρ</t>
    </r>
    <r>
      <rPr>
        <vertAlign val="subscript"/>
        <sz val="12"/>
        <color theme="1"/>
        <rFont val="Calibri"/>
        <family val="2"/>
        <scheme val="minor"/>
      </rPr>
      <t>pepa</t>
    </r>
  </si>
  <si>
    <t>Densidad agua (60°c)</t>
  </si>
  <si>
    <r>
      <t>ρ</t>
    </r>
    <r>
      <rPr>
        <vertAlign val="subscript"/>
        <sz val="12"/>
        <color theme="1"/>
        <rFont val="Calibri"/>
        <family val="2"/>
        <scheme val="minor"/>
      </rPr>
      <t>agua</t>
    </r>
  </si>
  <si>
    <t>Porcentaje de humedad de las almendras después de estar 1 hora en contacto</t>
  </si>
  <si>
    <r>
      <t>%</t>
    </r>
    <r>
      <rPr>
        <sz val="9"/>
        <color theme="1"/>
        <rFont val="Calibri"/>
        <family val="2"/>
        <scheme val="minor"/>
      </rPr>
      <t>humedad</t>
    </r>
  </si>
  <si>
    <t>Etapa</t>
  </si>
  <si>
    <t>Masa Húmeda[kg/semana]</t>
  </si>
  <si>
    <t>Masa seca[kg/semana]</t>
  </si>
  <si>
    <t>Masa total[kg/semana]</t>
  </si>
  <si>
    <t>Antinutrientes</t>
  </si>
  <si>
    <t>Deseada</t>
  </si>
  <si>
    <t>Se asume que a medida que las almendras se humedecen, el ácido fítico sale lixiviado de la almendra</t>
  </si>
  <si>
    <t>Se tiene que el agua es selectiva para el antinutriente de de ácido fítico, por ende, la pepa pasa a ser una matriz inerte</t>
  </si>
  <si>
    <t>La matriz inerte es la pepa de la almendra, el soluto a lixiviar es el ácido fítico y el disolvente es agua a 70°C</t>
  </si>
  <si>
    <t xml:space="preserve">Se tiene una jornada de 40 horas a la semana </t>
  </si>
  <si>
    <t>Flujo volumétrico de pepas de almendras</t>
  </si>
  <si>
    <t>Vpepa</t>
  </si>
  <si>
    <t>[m3/día]</t>
  </si>
  <si>
    <t>Flujo volumétrico de agua que entra al estanque</t>
  </si>
  <si>
    <t>Vagua</t>
  </si>
  <si>
    <t>Volumen total que se debe lixiviar</t>
  </si>
  <si>
    <r>
      <t>FV</t>
    </r>
    <r>
      <rPr>
        <sz val="9"/>
        <color rgb="FF000000"/>
        <rFont val="Calibri"/>
        <family val="2"/>
        <scheme val="minor"/>
      </rPr>
      <t>lixiviar</t>
    </r>
  </si>
  <si>
    <t>Masa inicial de Antinutriente</t>
  </si>
  <si>
    <t>Fanti0</t>
  </si>
  <si>
    <t>[Kg/día]</t>
  </si>
  <si>
    <t xml:space="preserve">F_vagua=(Masa agua)/ρ_pepaporo </t>
  </si>
  <si>
    <t>klklj</t>
  </si>
  <si>
    <t>Masa final de Antinutrientes</t>
  </si>
  <si>
    <t>Fanti</t>
  </si>
  <si>
    <t>Flujo masico agua por hora que absorbe la almendra</t>
  </si>
  <si>
    <r>
      <t>F</t>
    </r>
    <r>
      <rPr>
        <sz val="10"/>
        <color rgb="FF000000"/>
        <rFont val="Calibri"/>
        <family val="2"/>
        <scheme val="minor"/>
      </rPr>
      <t>agua abs</t>
    </r>
  </si>
  <si>
    <t>[Kg/día etapa]</t>
  </si>
  <si>
    <t>Número de veces necesarias que se debe lixiviar</t>
  </si>
  <si>
    <t>N</t>
  </si>
  <si>
    <t>Por lo cual como se deben tener 6 estanques de lixiviación de 0,45 metros cúbicos, pues el flujo de agau se debe dividir por dos en un tiempo de residecnia de 1 hora</t>
  </si>
  <si>
    <t>[1]R. K. Gupta, S. S. Gangoliya, and N. K. Singh, “Reduction of phytic acid and enhancement of bioavailable micronutrients in food grains,” J. Food Sci. Technol., vol. 52, no. 2, pp. 676–684, 2013</t>
  </si>
  <si>
    <t>[2] A. G. PONEROS‐SCHNEIER and J. W. ERDMAN, “Bioavailability of Calcium from Sesame Seeds, Almond Powder, Whole Wheat Bread, Spinach and Nonfat Dry Milk in Rats,” J. Food Sci., vol. 54, no. 1, pp. 150–153, 1989</t>
  </si>
  <si>
    <t>[3] J. O. Perry, Robert H , Gree, Don W, Maloney, Perry’s Chemical Engineers’ Handbook. 1997.</t>
  </si>
  <si>
    <t>[4]F. Kong and R. P. Singh, “Digestion of raw and roasted almonds in simulated gastric environment,” Food Biophys., vol. 4, no. 4, pp. 365–377, 2009</t>
  </si>
  <si>
    <t>t batch</t>
  </si>
  <si>
    <t>t</t>
  </si>
  <si>
    <t>[hr]</t>
  </si>
  <si>
    <t>Masa pepa con agua a procesar por día</t>
  </si>
  <si>
    <t>F10=Fpepa0</t>
  </si>
  <si>
    <t>[kg/día]</t>
  </si>
  <si>
    <t xml:space="preserve">Ver línea "leche de almendra" </t>
  </si>
  <si>
    <t>Masa de pepa con agua en salida por día</t>
  </si>
  <si>
    <t>F12=Fpepa</t>
  </si>
  <si>
    <t>Densidad del aire a 30°C</t>
  </si>
  <si>
    <t>d30°</t>
  </si>
  <si>
    <t>[kg/m3]</t>
  </si>
  <si>
    <t xml:space="preserve">Peso molecular del agua </t>
  </si>
  <si>
    <t>Ma</t>
  </si>
  <si>
    <t>[g/mol]</t>
  </si>
  <si>
    <t xml:space="preserve">Peso molecular del aire seco </t>
  </si>
  <si>
    <t>Mb</t>
  </si>
  <si>
    <t>Presión total en Mostazal</t>
  </si>
  <si>
    <t>Pt</t>
  </si>
  <si>
    <t>[Pa]</t>
  </si>
  <si>
    <t>Presión parcial del vapor de agua</t>
  </si>
  <si>
    <t>Pa</t>
  </si>
  <si>
    <t>Temperatura del aire se mantiene en 30°C</t>
  </si>
  <si>
    <t>Temperatura de salida del aire (T de rocío)</t>
  </si>
  <si>
    <t>Tc,s</t>
  </si>
  <si>
    <t>[°C]</t>
  </si>
  <si>
    <t>Asumiendo 20% humedad relativa y 30°C</t>
  </si>
  <si>
    <t>Coeficiente de transferencia de calor parcial</t>
  </si>
  <si>
    <t>1/(1/h_aire +1/h_refrigerante)</t>
  </si>
  <si>
    <t>[W/m2*K]</t>
  </si>
  <si>
    <t>Se asume que el grosor de la pared del intercambiador es despreciable. Trasferencia entre gas y orgánico liviano.</t>
  </si>
  <si>
    <t>Calor específico del aire </t>
  </si>
  <si>
    <t>Cp_aire</t>
  </si>
  <si>
    <t>[J/kg*K]</t>
  </si>
  <si>
    <t>Buscar de donde lo saque</t>
  </si>
  <si>
    <t>Calor especifico del refrigerante</t>
  </si>
  <si>
    <t>Cp_refrigerante</t>
  </si>
  <si>
    <t>[5]</t>
  </si>
  <si>
    <t xml:space="preserve">Espesor de la placa </t>
  </si>
  <si>
    <t>e</t>
  </si>
  <si>
    <t>Conductividad térmica de la placa de acero inoxidable</t>
  </si>
  <si>
    <t>k</t>
  </si>
  <si>
    <t>[W/m*K]</t>
  </si>
  <si>
    <t>Area por placa</t>
  </si>
  <si>
    <t>a</t>
  </si>
  <si>
    <t>[m2]</t>
  </si>
  <si>
    <t>Humedad aire seco a 100 °C en el tratamiento</t>
  </si>
  <si>
    <t>y_1</t>
  </si>
  <si>
    <t>Se asume que el aire a la entrada esta completamente seco.</t>
  </si>
  <si>
    <t>Humedad aire seco a la salida del tratamiento</t>
  </si>
  <si>
    <t>y_2</t>
  </si>
  <si>
    <t>La humedad perdida por la pepa es absorbida por el gas (4%)</t>
  </si>
  <si>
    <t>Temperatura del aire a la entrada</t>
  </si>
  <si>
    <t>tg, tc,e</t>
  </si>
  <si>
    <t>°C</t>
  </si>
  <si>
    <t>Temperatura entrada refrigerante</t>
  </si>
  <si>
    <t>tf,e</t>
  </si>
  <si>
    <t>Se asume el uso de un refrigerante con esta temperatura</t>
  </si>
  <si>
    <t>Temperatura de salida del refrigerante</t>
  </si>
  <si>
    <t>tf,s</t>
  </si>
  <si>
    <t>Se asume que debe salir a esta temperatura.</t>
  </si>
  <si>
    <t>Número de batch</t>
  </si>
  <si>
    <t>N° batch</t>
  </si>
  <si>
    <t>Se procesará todo la masa del día 6 veces.</t>
  </si>
  <si>
    <t>Masa del sólido húmedo (entrada)</t>
  </si>
  <si>
    <t xml:space="preserve">S_1 </t>
  </si>
  <si>
    <t>[kg]</t>
  </si>
  <si>
    <t>S_1=Fpepa0/n°batch</t>
  </si>
  <si>
    <t>Masa del sólido salida</t>
  </si>
  <si>
    <t>S_2</t>
  </si>
  <si>
    <t>S_2=Fpepa/n°batch</t>
  </si>
  <si>
    <t>Fracción de humedad en entrada del sólido</t>
  </si>
  <si>
    <t>x_1</t>
  </si>
  <si>
    <t>[kg/kg]</t>
  </si>
  <si>
    <t>x_1=kgAgua0/(kgPepa0+kgAgua0)</t>
  </si>
  <si>
    <t>Fracción de humedad en salida del sólido</t>
  </si>
  <si>
    <t>x_2</t>
  </si>
  <si>
    <t>x_2=kgAgua/(kgPepa+kgAgua)</t>
  </si>
  <si>
    <t>Masa de aire seco en la salida</t>
  </si>
  <si>
    <t>G_1</t>
  </si>
  <si>
    <t>S1*x1+G1*y1=S2*x2+((S1+G1)-S2)*y2</t>
  </si>
  <si>
    <t>Volumen de aire a enfriar</t>
  </si>
  <si>
    <t>V_aire</t>
  </si>
  <si>
    <t>[m3]</t>
  </si>
  <si>
    <t>V_aire=G_1/d30°</t>
  </si>
  <si>
    <t>Flujo volumétrico de aire a enfriar</t>
  </si>
  <si>
    <t>Q_aire </t>
  </si>
  <si>
    <t>Q_aire=V_aire/t</t>
  </si>
  <si>
    <t>Flujo másico de aire a enfriar</t>
  </si>
  <si>
    <t>M_aire</t>
  </si>
  <si>
    <t>[kg/s]</t>
  </si>
  <si>
    <t>M_aire=Q_aire/v_H</t>
  </si>
  <si>
    <t>Humedad absoluta</t>
  </si>
  <si>
    <t>y' </t>
  </si>
  <si>
    <t>y'=0.625*(Pa/(Pt-pa))</t>
  </si>
  <si>
    <t>Volumen húmedo</t>
  </si>
  <si>
    <t>v_H</t>
  </si>
  <si>
    <t>[m3 mezcla/kg aire]</t>
  </si>
  <si>
    <t>Vh=8315,6*((1/Mb)+(y´/Ma))*((tg+273,15)/Pt)</t>
  </si>
  <si>
    <t>Calor a remover</t>
  </si>
  <si>
    <t>Qr</t>
  </si>
  <si>
    <t>[J/s]</t>
  </si>
  <si>
    <t>Qr=M_aire*Cpaire*(Tc,e-tc,s)</t>
  </si>
  <si>
    <t>Area del intercambiador</t>
  </si>
  <si>
    <t>A</t>
  </si>
  <si>
    <t>A=Qr/(U*DELTATm)</t>
  </si>
  <si>
    <t xml:space="preserve">Coeficiente de transferencia de calor </t>
  </si>
  <si>
    <t>U</t>
  </si>
  <si>
    <t>U=1/(1/h_aire + 1/h_refrigerante + e/k)</t>
  </si>
  <si>
    <t>Fujo másico de refrigerante</t>
  </si>
  <si>
    <t>M_refrigerante</t>
  </si>
  <si>
    <t>(M_aire*Cp_aire*(Tc,e-Tc,s))/((Tf,s-Tf,e)*Cp_refrigerante)=M_refrigerante</t>
  </si>
  <si>
    <t>Diferencia de temperatura media logaritmica</t>
  </si>
  <si>
    <t>DELTATm</t>
  </si>
  <si>
    <t>DELTATm= (Tc,e-Tf,s)-(Tc,s-Tf,e)/ln(Tc,e-Tf,s/Tc,s-Tf,e)</t>
  </si>
  <si>
    <t>Se supone flujo contracorrinete</t>
  </si>
  <si>
    <t>N°Placas</t>
  </si>
  <si>
    <t>n° placas</t>
  </si>
  <si>
    <t>N°placas=A/a</t>
  </si>
  <si>
    <t>[1]G. Huang, “Hot air roasting of almonds,” Calif. almonds, no. july, pp. 1–5, 2014</t>
  </si>
  <si>
    <t>[2] “Uso de carta Psicrométrica Psicrometría.”</t>
  </si>
  <si>
    <t>[3]B. E. N. E. Fits, “R5 - Heat Exchanger Plate.” .</t>
  </si>
  <si>
    <t>[4] Goodfellow, “Acero Inoxidable - AISI 316 - Catalogo en linea - Materiales en pequenas cantidades para el diseno - Goodfellow.” [Online]. Available: http://www.goodfellow.com/S/Acero-Inoxidable-AISI-316.html. [Accessed: 04-Dec-2018].</t>
  </si>
  <si>
    <t>[5] C. Yunes A, Termodinámica, 7ma edición. Mc Graw Hill.</t>
  </si>
  <si>
    <t>[6] J. O. Perry, Robert H , Gree, Don W, Maloney, Perry’s Chemical Engineers’ Handbook. 1997.</t>
  </si>
  <si>
    <t>[7] P. Y. Marcas, “Bebidas de almendra y métodos para su producción,” 2014.</t>
  </si>
  <si>
    <t xml:space="preserve">Ecuación de diseño </t>
  </si>
  <si>
    <t>Flujo másico de entrada al filtro (bebida 1)</t>
  </si>
  <si>
    <t>Flujo másico de salida de bebida 2</t>
  </si>
  <si>
    <t>Flujo másico de salida de pasta de almendras</t>
  </si>
  <si>
    <t>Composición de agua en la bebida 2</t>
  </si>
  <si>
    <r>
      <t>y</t>
    </r>
    <r>
      <rPr>
        <vertAlign val="subscript"/>
        <sz val="12"/>
        <color theme="1"/>
        <rFont val="Calibri"/>
        <family val="2"/>
        <scheme val="minor"/>
      </rPr>
      <t>a</t>
    </r>
  </si>
  <si>
    <t>[kg agua/kg bebida]</t>
  </si>
  <si>
    <t>Composición de pepa en la bebida 2</t>
  </si>
  <si>
    <r>
      <t>y</t>
    </r>
    <r>
      <rPr>
        <vertAlign val="subscript"/>
        <sz val="12"/>
        <color theme="1"/>
        <rFont val="Calibri"/>
        <family val="2"/>
        <scheme val="minor"/>
      </rPr>
      <t>p</t>
    </r>
  </si>
  <si>
    <t>[kg pepa/kg bebida]</t>
  </si>
  <si>
    <t>Composición de agua en la pasta</t>
  </si>
  <si>
    <r>
      <t>x</t>
    </r>
    <r>
      <rPr>
        <vertAlign val="subscript"/>
        <sz val="12"/>
        <color theme="1"/>
        <rFont val="Calibri"/>
        <family val="2"/>
        <scheme val="minor"/>
      </rPr>
      <t>a</t>
    </r>
  </si>
  <si>
    <t>[kg agua/kg pasta]</t>
  </si>
  <si>
    <t>Composición de pepa en la pasta</t>
  </si>
  <si>
    <r>
      <t>x</t>
    </r>
    <r>
      <rPr>
        <vertAlign val="subscript"/>
        <sz val="12"/>
        <color theme="1"/>
        <rFont val="Calibri"/>
        <family val="2"/>
        <scheme val="minor"/>
      </rPr>
      <t>p</t>
    </r>
  </si>
  <si>
    <t>[kg pepa/kg pasta]</t>
  </si>
  <si>
    <t>Densidad agua</t>
  </si>
  <si>
    <t>Viscosidad bebida de almendra</t>
  </si>
  <si>
    <t>[Pa·s]</t>
  </si>
  <si>
    <t>Caída de presión en el lecho</t>
  </si>
  <si>
    <t>∆P</t>
  </si>
  <si>
    <t>[kPa]</t>
  </si>
  <si>
    <t>Resistencia específica de la torta</t>
  </si>
  <si>
    <t>𝛼</t>
  </si>
  <si>
    <t>[m/kg]</t>
  </si>
  <si>
    <t>La resistencia específica de la torta de bebida de almendra es similar a la de bebida de soya</t>
  </si>
  <si>
    <t>Resistencia del filtro</t>
  </si>
  <si>
    <r>
      <t>R</t>
    </r>
    <r>
      <rPr>
        <vertAlign val="subscript"/>
        <sz val="12"/>
        <color theme="1"/>
        <rFont val="Calibri"/>
        <family val="2"/>
        <scheme val="minor"/>
      </rPr>
      <t>M</t>
    </r>
  </si>
  <si>
    <t>[1/m]</t>
  </si>
  <si>
    <t>Jornada de trabajo</t>
  </si>
  <si>
    <t>tj</t>
  </si>
  <si>
    <t>[días/semana]</t>
  </si>
  <si>
    <t>Tiempo de carga y limpieza</t>
  </si>
  <si>
    <t>tc</t>
  </si>
  <si>
    <t>[s]</t>
  </si>
  <si>
    <t>El tiempo de ciclo es 1 hora. El tiempo de carga y limpieza corresponde al 20% del tiempo del ciclo.</t>
  </si>
  <si>
    <t>Tiempo de operación del filtro</t>
  </si>
  <si>
    <t>Volumen total de filtrado</t>
  </si>
  <si>
    <t>V</t>
  </si>
  <si>
    <r>
      <t>[m</t>
    </r>
    <r>
      <rPr>
        <vertAlign val="superscript"/>
        <sz val="12"/>
        <color theme="1"/>
        <rFont val="Calibri"/>
        <family val="2"/>
        <scheme val="minor"/>
      </rPr>
      <t>3</t>
    </r>
    <r>
      <rPr>
        <sz val="12"/>
        <color theme="1"/>
        <rFont val="Calibri"/>
        <family val="2"/>
        <scheme val="minor"/>
      </rPr>
      <t>]</t>
    </r>
  </si>
  <si>
    <t>V=((F16·yp/ ρpepa)+(F16·ya/ ρagua))/tj</t>
  </si>
  <si>
    <t>Masa de torta por unidad de volumen filtrado </t>
  </si>
  <si>
    <t>C</t>
  </si>
  <si>
    <t>C = (F17· xp)/(tj·V)</t>
  </si>
  <si>
    <t>Área transversal del filtro</t>
  </si>
  <si>
    <r>
      <t>[m</t>
    </r>
    <r>
      <rPr>
        <vertAlign val="superscript"/>
        <sz val="12"/>
        <color theme="1"/>
        <rFont val="Calibri"/>
        <family val="2"/>
        <scheme val="minor"/>
      </rPr>
      <t>2</t>
    </r>
    <r>
      <rPr>
        <sz val="12"/>
        <color theme="1"/>
        <rFont val="Calibri"/>
        <family val="2"/>
        <scheme val="minor"/>
      </rPr>
      <t>]</t>
    </r>
  </si>
  <si>
    <r>
      <t>A</t>
    </r>
    <r>
      <rPr>
        <vertAlign val="superscript"/>
        <sz val="12"/>
        <color theme="1"/>
        <rFont val="Calibri"/>
        <family val="2"/>
        <scheme val="minor"/>
      </rPr>
      <t>2</t>
    </r>
    <r>
      <rPr>
        <sz val="12"/>
        <color theme="1"/>
        <rFont val="Calibri"/>
        <family val="2"/>
        <scheme val="minor"/>
      </rPr>
      <t xml:space="preserve"> = (µ·</t>
    </r>
    <r>
      <rPr>
        <sz val="12"/>
        <color theme="1"/>
        <rFont val="Cambria Math"/>
        <family val="1"/>
      </rPr>
      <t>𝛼</t>
    </r>
    <r>
      <rPr>
        <sz val="12"/>
        <color theme="1"/>
        <rFont val="Calibri"/>
        <family val="2"/>
        <scheme val="minor"/>
      </rPr>
      <t>·C·V</t>
    </r>
    <r>
      <rPr>
        <vertAlign val="superscript"/>
        <sz val="12"/>
        <color theme="1"/>
        <rFont val="Calibri"/>
        <family val="2"/>
        <scheme val="minor"/>
      </rPr>
      <t>2</t>
    </r>
    <r>
      <rPr>
        <sz val="12"/>
        <color theme="1"/>
        <rFont val="Calibri"/>
        <family val="2"/>
        <scheme val="minor"/>
      </rPr>
      <t>)/(2·t·∆P)+ A·(µ·R</t>
    </r>
    <r>
      <rPr>
        <vertAlign val="subscript"/>
        <sz val="12"/>
        <color theme="1"/>
        <rFont val="Calibri"/>
        <family val="2"/>
        <scheme val="minor"/>
      </rPr>
      <t>M</t>
    </r>
    <r>
      <rPr>
        <sz val="12"/>
        <color theme="1"/>
        <rFont val="Calibri"/>
        <family val="2"/>
        <scheme val="minor"/>
      </rPr>
      <t>·V)/(t·∆P)</t>
    </r>
  </si>
  <si>
    <t xml:space="preserve">[1]UNAD, “Tecnología De Lacteos,” 2013. </t>
  </si>
  <si>
    <t xml:space="preserve">[2] Uclm, “Tema 11. Filtración.” </t>
  </si>
  <si>
    <t xml:space="preserve">Ecuación de diseño  </t>
  </si>
  <si>
    <t>Reacción en estudio:</t>
  </si>
  <si>
    <t>proteina+ácido cítrico  -&gt; Proteina desnaturalizada+ ácido cítrico</t>
  </si>
  <si>
    <t>Flujo Másico de Premezcla</t>
  </si>
  <si>
    <t>Fuljo másico de áceite</t>
  </si>
  <si>
    <t>Flujo Másico de Agua</t>
  </si>
  <si>
    <t>Flujo Másico de Ácido Cítrico</t>
  </si>
  <si>
    <t>Flujo Másico Mezcla</t>
  </si>
  <si>
    <t>Composición de pepa en "Queso de alemndra"</t>
  </si>
  <si>
    <t>Xpepa</t>
  </si>
  <si>
    <t>La composición del queso de alemendra es 90% pepa y 10% de agua que entran al moledor 1</t>
  </si>
  <si>
    <t>Composición de Proteina en la Pepa de almendra</t>
  </si>
  <si>
    <t>Xproteina</t>
  </si>
  <si>
    <t>La alemndra sólo cuenta con una proteina, albúmina, que es el 90% de las proteinas totales. Las proteínas son el 37,09% de la masa de la proteína</t>
  </si>
  <si>
    <t xml:space="preserve">[2] </t>
  </si>
  <si>
    <t>Porcentaje de carbono en la proteina de almendra</t>
  </si>
  <si>
    <t>%C</t>
  </si>
  <si>
    <t>Se toma la composición de una albumina de origen vegetal</t>
  </si>
  <si>
    <t>Porcentaje de hidrógeno en la proteina de almendra</t>
  </si>
  <si>
    <t>%H</t>
  </si>
  <si>
    <t>Porcentaje de oxígeno en la proteina de almendra</t>
  </si>
  <si>
    <t>%O</t>
  </si>
  <si>
    <t>Porcentaje de nitrógeno en la proteina de almendra</t>
  </si>
  <si>
    <t>%N</t>
  </si>
  <si>
    <t>Peso molecular del Carbono</t>
  </si>
  <si>
    <t>PMc</t>
  </si>
  <si>
    <t>Peso molecular del Hidrógeno</t>
  </si>
  <si>
    <t>PMh</t>
  </si>
  <si>
    <t>Peso molecular del Oxígeno</t>
  </si>
  <si>
    <t>PMo</t>
  </si>
  <si>
    <t>Peso molecular del Nitrógeno</t>
  </si>
  <si>
    <t>PMn</t>
  </si>
  <si>
    <t xml:space="preserve">Densidad agua </t>
  </si>
  <si>
    <t>Densidad pepa</t>
  </si>
  <si>
    <t>Constante cinética de la denaturalización de la proteína</t>
  </si>
  <si>
    <r>
      <t>K</t>
    </r>
    <r>
      <rPr>
        <sz val="8"/>
        <color theme="1"/>
        <rFont val="Calibri"/>
        <family val="2"/>
        <scheme val="minor"/>
      </rPr>
      <t>dp</t>
    </r>
  </si>
  <si>
    <t>[1/s]</t>
  </si>
  <si>
    <t>Se asume que todas las proteinas poseen la misma constante cinética, además se ser una reacción de primer orden</t>
  </si>
  <si>
    <t>Se calcula la formulá molécular de la proteina diviendo cada mol por la menor cantidad de moles, hasta obtener un numero entero.</t>
  </si>
  <si>
    <t>Se toman solo dos decimales</t>
  </si>
  <si>
    <t>Carbono</t>
  </si>
  <si>
    <t>Hidrógeno</t>
  </si>
  <si>
    <t>Oxígeno</t>
  </si>
  <si>
    <t>Nitrogeno</t>
  </si>
  <si>
    <t xml:space="preserve">Fórmula Empírica: </t>
  </si>
  <si>
    <t>Se escoje 51, pues es así s emantienen los porcentajes encontrados por bibliografía</t>
  </si>
  <si>
    <t>Flujo Másico de Pepas hacia el reactor</t>
  </si>
  <si>
    <t>Fpepa</t>
  </si>
  <si>
    <t>[Kg/hr]</t>
  </si>
  <si>
    <t>Flujo Másico de Proteinas hacia el reactor</t>
  </si>
  <si>
    <t>Fproteina</t>
  </si>
  <si>
    <t>Flujo Másico de carbono hacia el reactor</t>
  </si>
  <si>
    <t>Flujo Másico de hidrógeno hacia el reactor</t>
  </si>
  <si>
    <t>Flujo Másico de oxígeno hacia el reactor</t>
  </si>
  <si>
    <t>Flujo Másico de nitrógeno hacia el reactor</t>
  </si>
  <si>
    <r>
      <t>F</t>
    </r>
    <r>
      <rPr>
        <sz val="11"/>
        <color rgb="FF000000"/>
        <rFont val="Calibri"/>
        <family val="2"/>
        <scheme val="minor"/>
      </rPr>
      <t>_</t>
    </r>
    <r>
      <rPr>
        <sz val="11"/>
        <color rgb="FF000000"/>
        <rFont val="Cambria Math"/>
        <family val="1"/>
      </rPr>
      <t>N</t>
    </r>
  </si>
  <si>
    <t>Moles de carbono</t>
  </si>
  <si>
    <t>[mol/hr]</t>
  </si>
  <si>
    <t>Moles de hidrógeno</t>
  </si>
  <si>
    <t>Moles de oxígeno</t>
  </si>
  <si>
    <t>Moles de nitrógeno</t>
  </si>
  <si>
    <t>Moles de proteina</t>
  </si>
  <si>
    <t>Producción de queso de almendra deseada</t>
  </si>
  <si>
    <t>Se quiere que toda la proteina se convieta en queso</t>
  </si>
  <si>
    <t>Densidad de la premezcla</t>
  </si>
  <si>
    <r>
      <rPr>
        <sz val="16"/>
        <color theme="1"/>
        <rFont val="Calibri"/>
        <family val="2"/>
        <scheme val="minor"/>
      </rPr>
      <t>ρ</t>
    </r>
    <r>
      <rPr>
        <sz val="10"/>
        <color theme="1"/>
        <rFont val="Calibri"/>
        <family val="2"/>
        <scheme val="minor"/>
      </rPr>
      <t>premezcla</t>
    </r>
  </si>
  <si>
    <r>
      <rPr>
        <sz val="16"/>
        <color theme="1"/>
        <rFont val="Calibri"/>
        <family val="2"/>
        <scheme val="minor"/>
      </rPr>
      <t>ρ</t>
    </r>
    <r>
      <rPr>
        <sz val="10"/>
        <color theme="1"/>
        <rFont val="Calibri"/>
        <family val="2"/>
        <scheme val="minor"/>
      </rPr>
      <t>premezcla=0,1∙</t>
    </r>
    <r>
      <rPr>
        <sz val="16"/>
        <color theme="1"/>
        <rFont val="Calibri"/>
        <family val="2"/>
        <scheme val="minor"/>
      </rPr>
      <t>ρ</t>
    </r>
    <r>
      <rPr>
        <sz val="12"/>
        <color theme="1"/>
        <rFont val="Calibri"/>
        <family val="2"/>
        <scheme val="minor"/>
      </rPr>
      <t>pepa+0,9∙</t>
    </r>
    <r>
      <rPr>
        <sz val="16"/>
        <color theme="1"/>
        <rFont val="Calibri"/>
        <family val="2"/>
        <scheme val="minor"/>
      </rPr>
      <t>ρ</t>
    </r>
    <r>
      <rPr>
        <sz val="12"/>
        <color theme="1"/>
        <rFont val="Calibri"/>
        <family val="2"/>
        <scheme val="minor"/>
      </rPr>
      <t>pepa</t>
    </r>
  </si>
  <si>
    <t>Se asume que es 90% pepa y 10%agua</t>
  </si>
  <si>
    <t>Volumen Premezcla</t>
  </si>
  <si>
    <r>
      <t>V</t>
    </r>
    <r>
      <rPr>
        <sz val="10"/>
        <color rgb="FF000000"/>
        <rFont val="Calibri"/>
        <family val="2"/>
        <scheme val="minor"/>
      </rPr>
      <t>premezcla</t>
    </r>
  </si>
  <si>
    <r>
      <t>V</t>
    </r>
    <r>
      <rPr>
        <sz val="10"/>
        <color rgb="FF000000"/>
        <rFont val="Calibri"/>
        <family val="2"/>
        <scheme val="minor"/>
      </rPr>
      <t>premezcla</t>
    </r>
    <r>
      <rPr>
        <sz val="12"/>
        <color rgb="FF000000"/>
        <rFont val="Calibri"/>
        <family val="2"/>
        <scheme val="minor"/>
      </rPr>
      <t>=Masa Premezcla/ρ</t>
    </r>
    <r>
      <rPr>
        <sz val="9"/>
        <color rgb="FF000000"/>
        <rFont val="Calibri"/>
        <family val="2"/>
        <scheme val="minor"/>
      </rPr>
      <t>premezcla</t>
    </r>
  </si>
  <si>
    <t>Peso molecular proteina</t>
  </si>
  <si>
    <t>PMproteina</t>
  </si>
  <si>
    <t>Pmproteina=PMc∙204+PMh∙324+PMo∙67+PMn∙51</t>
  </si>
  <si>
    <t>Concentración inicial de proteína</t>
  </si>
  <si>
    <r>
      <t>C</t>
    </r>
    <r>
      <rPr>
        <sz val="8"/>
        <color rgb="FF000000"/>
        <rFont val="Calibri"/>
        <family val="2"/>
        <scheme val="minor"/>
      </rPr>
      <t>pro0</t>
    </r>
  </si>
  <si>
    <r>
      <t>[mol/m</t>
    </r>
    <r>
      <rPr>
        <vertAlign val="superscript"/>
        <sz val="12"/>
        <color theme="1"/>
        <rFont val="Calibri"/>
        <family val="2"/>
        <scheme val="minor"/>
      </rPr>
      <t>3</t>
    </r>
    <r>
      <rPr>
        <sz val="12"/>
        <color theme="1"/>
        <rFont val="Calibri"/>
        <family val="2"/>
        <scheme val="minor"/>
      </rPr>
      <t>]</t>
    </r>
  </si>
  <si>
    <r>
      <t>C</t>
    </r>
    <r>
      <rPr>
        <sz val="8"/>
        <color rgb="FF000000"/>
        <rFont val="Calibri"/>
        <family val="2"/>
        <scheme val="minor"/>
      </rPr>
      <t xml:space="preserve">pro= </t>
    </r>
    <r>
      <rPr>
        <sz val="12"/>
        <color rgb="FF000000"/>
        <rFont val="Calibri"/>
        <family val="2"/>
        <scheme val="minor"/>
      </rPr>
      <t>M</t>
    </r>
    <r>
      <rPr>
        <sz val="8"/>
        <color rgb="FF000000"/>
        <rFont val="Calibri"/>
        <family val="2"/>
        <scheme val="minor"/>
      </rPr>
      <t>pro/(</t>
    </r>
    <r>
      <rPr>
        <sz val="12"/>
        <color rgb="FF000000"/>
        <rFont val="Calibri"/>
        <family val="2"/>
        <scheme val="minor"/>
      </rPr>
      <t>V</t>
    </r>
    <r>
      <rPr>
        <sz val="8"/>
        <color rgb="FF000000"/>
        <rFont val="Calibri"/>
        <family val="2"/>
        <scheme val="minor"/>
      </rPr>
      <t>premezcla*</t>
    </r>
    <r>
      <rPr>
        <sz val="12"/>
        <color rgb="FF000000"/>
        <rFont val="Calibri"/>
        <family val="2"/>
        <scheme val="minor"/>
      </rPr>
      <t>PM</t>
    </r>
    <r>
      <rPr>
        <sz val="8"/>
        <color rgb="FF000000"/>
        <rFont val="Calibri"/>
        <family val="2"/>
        <scheme val="minor"/>
      </rPr>
      <t xml:space="preserve"> proteina)</t>
    </r>
  </si>
  <si>
    <t>Tiempo de limpieza en el Batch</t>
  </si>
  <si>
    <t>tm</t>
  </si>
  <si>
    <t>[min]</t>
  </si>
  <si>
    <t>Tiempo de  reaccion en el Batch</t>
  </si>
  <si>
    <t>Producción por unidad de volumen</t>
  </si>
  <si>
    <t>Pv</t>
  </si>
  <si>
    <r>
      <t>[mol/ hr m</t>
    </r>
    <r>
      <rPr>
        <vertAlign val="superscript"/>
        <sz val="14"/>
        <color theme="1"/>
        <rFont val="Calibri"/>
        <family val="2"/>
        <scheme val="minor"/>
      </rPr>
      <t>3</t>
    </r>
    <r>
      <rPr>
        <sz val="12"/>
        <color theme="1"/>
        <rFont val="Calibri"/>
        <family val="2"/>
        <scheme val="minor"/>
      </rPr>
      <t>]</t>
    </r>
  </si>
  <si>
    <r>
      <t>Pv=(Conversión*C</t>
    </r>
    <r>
      <rPr>
        <sz val="8"/>
        <color rgb="FF000000"/>
        <rFont val="Calibri"/>
        <family val="2"/>
        <scheme val="minor"/>
      </rPr>
      <t>pro0</t>
    </r>
    <r>
      <rPr>
        <sz val="12"/>
        <color rgb="FF000000"/>
        <rFont val="Calibri"/>
        <family val="2"/>
        <scheme val="minor"/>
      </rPr>
      <t>)/t</t>
    </r>
  </si>
  <si>
    <t>Volumen del reactor Batch</t>
  </si>
  <si>
    <r>
      <t>V</t>
    </r>
    <r>
      <rPr>
        <sz val="8"/>
        <color rgb="FF000000"/>
        <rFont val="Calibri"/>
        <family val="2"/>
        <scheme val="minor"/>
      </rPr>
      <t>batch</t>
    </r>
  </si>
  <si>
    <r>
      <t>[m</t>
    </r>
    <r>
      <rPr>
        <vertAlign val="superscript"/>
        <sz val="14"/>
        <color theme="1"/>
        <rFont val="Calibri"/>
        <family val="2"/>
        <scheme val="minor"/>
      </rPr>
      <t>3</t>
    </r>
    <r>
      <rPr>
        <sz val="12"/>
        <color theme="1"/>
        <rFont val="Calibri"/>
        <family val="2"/>
        <scheme val="minor"/>
      </rPr>
      <t>]</t>
    </r>
  </si>
  <si>
    <t>V=Pd/Pv</t>
  </si>
  <si>
    <t>La semana tiene 2400 horas, pues se trabaja 8 horas a la semana durante 5 días</t>
  </si>
  <si>
    <t>[1] F. Application et al., “United States Patent (19),” U.S. Pat. 5976719, no. 19, 1999.</t>
  </si>
  <si>
    <t>[2] Yada S., Lapsley K., Huang G. (2011). A review of composition studies of cultivated almonds:
Macronutrients and micronutrients, Journal of Food Composition and Analysis 24 (2011) 469480,</t>
  </si>
  <si>
    <t xml:space="preserve">[3] "Tratado de química aplicada a las artes", Dumas, Jean-Baptisde-André,, </t>
  </si>
  <si>
    <t>[4] J. O. Perry, Robert H , Gree, Don W, Maloney, Perry’s</t>
  </si>
  <si>
    <t>[5] Studies on the kinetics of protein denaturation under high
pressure,Suzuki, Keizo,The Review of Physical Chemistry of Japan (1960)</t>
  </si>
  <si>
    <t>Flujo másico de entrada al autoclave</t>
  </si>
  <si>
    <t>Flujo másico de salida del autoclave</t>
  </si>
  <si>
    <t>Flujo másico de premezcla</t>
  </si>
  <si>
    <r>
      <t>m</t>
    </r>
    <r>
      <rPr>
        <vertAlign val="subscript"/>
        <sz val="11"/>
        <color theme="1"/>
        <rFont val="Calibri (Cuerpo)_x0000_"/>
      </rPr>
      <t>premezcla</t>
    </r>
  </si>
  <si>
    <t>Flujo másico de agua</t>
  </si>
  <si>
    <r>
      <t>m</t>
    </r>
    <r>
      <rPr>
        <vertAlign val="subscript"/>
        <sz val="11"/>
        <color theme="1"/>
        <rFont val="Calibri (Cuerpo)_x0000_"/>
      </rPr>
      <t>agua</t>
    </r>
  </si>
  <si>
    <t>Flujo másico de aceite</t>
  </si>
  <si>
    <r>
      <t>m</t>
    </r>
    <r>
      <rPr>
        <vertAlign val="subscript"/>
        <sz val="11"/>
        <color theme="1"/>
        <rFont val="Calibri (Cuerpo)_x0000_"/>
      </rPr>
      <t>aceite</t>
    </r>
  </si>
  <si>
    <t>Flujo másico de ácido cítrico</t>
  </si>
  <si>
    <r>
      <t>m</t>
    </r>
    <r>
      <rPr>
        <vertAlign val="subscript"/>
        <sz val="11"/>
        <color theme="1"/>
        <rFont val="Calibri (Cuerpo)_x0000_"/>
      </rPr>
      <t>ac</t>
    </r>
  </si>
  <si>
    <r>
      <t>ρ</t>
    </r>
    <r>
      <rPr>
        <vertAlign val="subscript"/>
        <sz val="11"/>
        <color theme="1"/>
        <rFont val="Calibri (Cuerpo)_x0000_"/>
      </rPr>
      <t>pepa</t>
    </r>
  </si>
  <si>
    <r>
      <t>[kg/m</t>
    </r>
    <r>
      <rPr>
        <vertAlign val="superscript"/>
        <sz val="11"/>
        <color theme="1"/>
        <rFont val="Calibri (Cuerpo)_x0000_"/>
      </rPr>
      <t>3</t>
    </r>
    <r>
      <rPr>
        <sz val="11"/>
        <color theme="1"/>
        <rFont val="Calibri (Cuerpo)_x0000_"/>
      </rPr>
      <t>]</t>
    </r>
  </si>
  <si>
    <r>
      <t>ρ</t>
    </r>
    <r>
      <rPr>
        <vertAlign val="subscript"/>
        <sz val="11"/>
        <color theme="1"/>
        <rFont val="Calibri (Cuerpo)_x0000_"/>
      </rPr>
      <t>agua</t>
    </r>
  </si>
  <si>
    <t>Densidad aceite</t>
  </si>
  <si>
    <r>
      <t>ρ</t>
    </r>
    <r>
      <rPr>
        <vertAlign val="subscript"/>
        <sz val="11"/>
        <color theme="1"/>
        <rFont val="Calibri"/>
        <family val="2"/>
        <scheme val="minor"/>
      </rPr>
      <t>aceite</t>
    </r>
  </si>
  <si>
    <r>
      <t>[kg/m</t>
    </r>
    <r>
      <rPr>
        <vertAlign val="superscript"/>
        <sz val="11"/>
        <color theme="1"/>
        <rFont val="Calibri"/>
        <family val="2"/>
        <scheme val="minor"/>
      </rPr>
      <t>3</t>
    </r>
    <r>
      <rPr>
        <sz val="11"/>
        <color theme="1"/>
        <rFont val="Calibri"/>
        <family val="2"/>
        <scheme val="minor"/>
      </rPr>
      <t>]</t>
    </r>
  </si>
  <si>
    <t>Densidad ácido cítrico</t>
  </si>
  <si>
    <r>
      <t>ρ</t>
    </r>
    <r>
      <rPr>
        <vertAlign val="subscript"/>
        <sz val="11"/>
        <color theme="1"/>
        <rFont val="Calibri"/>
        <family val="2"/>
        <scheme val="minor"/>
      </rPr>
      <t>ac</t>
    </r>
  </si>
  <si>
    <t>Número de esterilizaciones</t>
  </si>
  <si>
    <t>[esterilizaciones/semana]</t>
  </si>
  <si>
    <t>Eficiencia</t>
  </si>
  <si>
    <t>η</t>
  </si>
  <si>
    <t>Compresibilidad del queso</t>
  </si>
  <si>
    <t>Densidad premezcla</t>
  </si>
  <si>
    <r>
      <t>ρ</t>
    </r>
    <r>
      <rPr>
        <vertAlign val="subscript"/>
        <sz val="11"/>
        <color theme="1"/>
        <rFont val="Calibri"/>
        <family val="2"/>
        <scheme val="minor"/>
      </rPr>
      <t>premezcla</t>
    </r>
  </si>
  <si>
    <r>
      <t>ρ</t>
    </r>
    <r>
      <rPr>
        <vertAlign val="subscript"/>
        <sz val="12"/>
        <color theme="1"/>
        <rFont val="Calibri"/>
        <family val="2"/>
        <scheme val="minor"/>
      </rPr>
      <t>premezcla</t>
    </r>
    <r>
      <rPr>
        <sz val="12"/>
        <color theme="1"/>
        <rFont val="Calibri"/>
        <family val="2"/>
        <scheme val="minor"/>
      </rPr>
      <t xml:space="preserve"> = 0,1· ρ</t>
    </r>
    <r>
      <rPr>
        <vertAlign val="subscript"/>
        <sz val="12"/>
        <color theme="1"/>
        <rFont val="Calibri"/>
        <family val="2"/>
        <scheme val="minor"/>
      </rPr>
      <t>agua</t>
    </r>
    <r>
      <rPr>
        <sz val="12"/>
        <color theme="1"/>
        <rFont val="Calibri"/>
        <family val="2"/>
        <scheme val="minor"/>
      </rPr>
      <t xml:space="preserve"> + 0,9· ρ</t>
    </r>
    <r>
      <rPr>
        <vertAlign val="subscript"/>
        <sz val="12"/>
        <color theme="1"/>
        <rFont val="Calibri"/>
        <family val="2"/>
        <scheme val="minor"/>
      </rPr>
      <t>pepa</t>
    </r>
  </si>
  <si>
    <t>Se asume que es 90% pepa y 10% agua</t>
  </si>
  <si>
    <t>Volumen de queso a tratar</t>
  </si>
  <si>
    <t>Vq</t>
  </si>
  <si>
    <r>
      <t>[m</t>
    </r>
    <r>
      <rPr>
        <vertAlign val="superscript"/>
        <sz val="12"/>
        <color theme="1"/>
        <rFont val="Calibri"/>
        <family val="2"/>
        <scheme val="minor"/>
      </rPr>
      <t>3</t>
    </r>
    <r>
      <rPr>
        <sz val="12"/>
        <color theme="1"/>
        <rFont val="Calibri"/>
        <family val="2"/>
        <scheme val="minor"/>
      </rPr>
      <t>/esterilización]</t>
    </r>
  </si>
  <si>
    <r>
      <t>Vq = ((m</t>
    </r>
    <r>
      <rPr>
        <vertAlign val="subscript"/>
        <sz val="12"/>
        <color theme="1"/>
        <rFont val="Calibri"/>
        <family val="2"/>
        <scheme val="minor"/>
      </rPr>
      <t>premezcla</t>
    </r>
    <r>
      <rPr>
        <sz val="12"/>
        <color theme="1"/>
        <rFont val="Calibri"/>
        <family val="2"/>
        <scheme val="minor"/>
      </rPr>
      <t>/ ρ</t>
    </r>
    <r>
      <rPr>
        <vertAlign val="subscript"/>
        <sz val="12"/>
        <color theme="1"/>
        <rFont val="Calibri"/>
        <family val="2"/>
        <scheme val="minor"/>
      </rPr>
      <t>premezcla</t>
    </r>
    <r>
      <rPr>
        <sz val="12"/>
        <color theme="1"/>
        <rFont val="Calibri"/>
        <family val="2"/>
        <scheme val="minor"/>
      </rPr>
      <t>)+(m</t>
    </r>
    <r>
      <rPr>
        <vertAlign val="subscript"/>
        <sz val="12"/>
        <color theme="1"/>
        <rFont val="Calibri"/>
        <family val="2"/>
        <scheme val="minor"/>
      </rPr>
      <t>agua</t>
    </r>
    <r>
      <rPr>
        <sz val="12"/>
        <color theme="1"/>
        <rFont val="Calibri"/>
        <family val="2"/>
        <scheme val="minor"/>
      </rPr>
      <t>/ ρ</t>
    </r>
    <r>
      <rPr>
        <vertAlign val="subscript"/>
        <sz val="12"/>
        <color theme="1"/>
        <rFont val="Calibri"/>
        <family val="2"/>
        <scheme val="minor"/>
      </rPr>
      <t>agua</t>
    </r>
    <r>
      <rPr>
        <sz val="12"/>
        <color theme="1"/>
        <rFont val="Calibri"/>
        <family val="2"/>
        <scheme val="minor"/>
      </rPr>
      <t>)+(m</t>
    </r>
    <r>
      <rPr>
        <vertAlign val="subscript"/>
        <sz val="12"/>
        <color theme="1"/>
        <rFont val="Calibri"/>
        <family val="2"/>
        <scheme val="minor"/>
      </rPr>
      <t>aceite</t>
    </r>
    <r>
      <rPr>
        <sz val="12"/>
        <color theme="1"/>
        <rFont val="Calibri"/>
        <family val="2"/>
        <scheme val="minor"/>
      </rPr>
      <t>/ ρ</t>
    </r>
    <r>
      <rPr>
        <vertAlign val="subscript"/>
        <sz val="12"/>
        <color theme="1"/>
        <rFont val="Calibri"/>
        <family val="2"/>
        <scheme val="minor"/>
      </rPr>
      <t>aceite</t>
    </r>
    <r>
      <rPr>
        <sz val="12"/>
        <color theme="1"/>
        <rFont val="Calibri"/>
        <family val="2"/>
        <scheme val="minor"/>
      </rPr>
      <t>)+(m</t>
    </r>
    <r>
      <rPr>
        <vertAlign val="subscript"/>
        <sz val="12"/>
        <color theme="1"/>
        <rFont val="Calibri"/>
        <family val="2"/>
        <scheme val="minor"/>
      </rPr>
      <t>ac</t>
    </r>
    <r>
      <rPr>
        <sz val="12"/>
        <color theme="1"/>
        <rFont val="Calibri"/>
        <family val="2"/>
        <scheme val="minor"/>
      </rPr>
      <t>/ ρ</t>
    </r>
    <r>
      <rPr>
        <vertAlign val="subscript"/>
        <sz val="12"/>
        <color theme="1"/>
        <rFont val="Calibri"/>
        <family val="2"/>
        <scheme val="minor"/>
      </rPr>
      <t>ac</t>
    </r>
    <r>
      <rPr>
        <sz val="12"/>
        <color theme="1"/>
        <rFont val="Calibri"/>
        <family val="2"/>
        <scheme val="minor"/>
      </rPr>
      <t>))/N</t>
    </r>
  </si>
  <si>
    <t>Volumen autoclave</t>
  </si>
  <si>
    <t>Va</t>
  </si>
  <si>
    <t>Va = (Vq/η)-Vq·C</t>
  </si>
  <si>
    <t>Diámetro autoclave</t>
  </si>
  <si>
    <t>D</t>
  </si>
  <si>
    <t>D = (2·V/𝜋) ^(1/3)</t>
  </si>
  <si>
    <t>El autoclave es un cilindro y se cumple la relación L/D = 2 [2]</t>
  </si>
  <si>
    <t>Largo autoclave</t>
  </si>
  <si>
    <t>L = 2·D</t>
  </si>
  <si>
    <t>[1] S. Min, S. K. Sastry, and V. M. Balasubramaniam, “Compressibility and density of select liquid and solid foods under pressures up to 700 MPa,” J. Food Eng., vol. 96, no. 4, pp. 568–574, 2010.</t>
  </si>
  <si>
    <t>[2] "Diseño de autoclave", capitulo [4]</t>
  </si>
  <si>
    <t>densidad agua</t>
  </si>
  <si>
    <t>vs=</t>
  </si>
  <si>
    <t>viscosidad agua</t>
  </si>
  <si>
    <t>q=</t>
  </si>
  <si>
    <t>m^3/s</t>
  </si>
  <si>
    <t>Agua cruda</t>
  </si>
  <si>
    <t>diametro particula</t>
  </si>
  <si>
    <t>a=</t>
  </si>
  <si>
    <t>Salida de lodos</t>
  </si>
  <si>
    <t>Salida de agua sin sedimentos</t>
  </si>
  <si>
    <t>Diametro de partícula</t>
  </si>
  <si>
    <t>d</t>
  </si>
  <si>
    <t>densidad particula</t>
  </si>
  <si>
    <t>r=</t>
  </si>
  <si>
    <t xml:space="preserve">Densidad de partícula </t>
  </si>
  <si>
    <r>
      <rPr>
        <sz val="12"/>
        <color theme="1"/>
        <rFont val="Calibri"/>
        <family val="2"/>
      </rPr>
      <t>ρ</t>
    </r>
    <r>
      <rPr>
        <sz val="10.199999999999999"/>
        <color theme="1"/>
        <rFont val="Calibri"/>
        <family val="2"/>
      </rPr>
      <t>a</t>
    </r>
  </si>
  <si>
    <t>[1] [2]</t>
  </si>
  <si>
    <t>gravedad</t>
  </si>
  <si>
    <t xml:space="preserve">Densidad del agua </t>
  </si>
  <si>
    <t>ρ</t>
  </si>
  <si>
    <t>Viscosidad del agua</t>
  </si>
  <si>
    <t>μ</t>
  </si>
  <si>
    <t>[kg/(m s)</t>
  </si>
  <si>
    <t>ppm de sólidos</t>
  </si>
  <si>
    <t>Z</t>
  </si>
  <si>
    <t>[ppm]</t>
  </si>
  <si>
    <t>Gravedad</t>
  </si>
  <si>
    <t>g</t>
  </si>
  <si>
    <t>[m/s]</t>
  </si>
  <si>
    <t xml:space="preserve">En el agua existen distintos tipos de sólidos por lo que se elije la menor densidad de estos para hacer los cálculos, esto es debido a que el solido con menor densidad es el que posee menor velocidad de decantación y por ende mas área de sedimentación </t>
  </si>
  <si>
    <t>Se asume que la densidad del agua cruda es igual a la del agua pura</t>
  </si>
  <si>
    <t>Se asume regimen de Stokes</t>
  </si>
  <si>
    <t>Caudal de flujo de agua a tratar</t>
  </si>
  <si>
    <t>Velocidad de sediementaicón</t>
  </si>
  <si>
    <t>vs</t>
  </si>
  <si>
    <t>Area de sedimentador</t>
  </si>
  <si>
    <r>
      <t>[m</t>
    </r>
    <r>
      <rPr>
        <vertAlign val="superscript"/>
        <sz val="12"/>
        <color rgb="FF000000"/>
        <rFont val="Calibri"/>
        <family val="2"/>
        <scheme val="minor"/>
      </rPr>
      <t>2</t>
    </r>
    <r>
      <rPr>
        <sz val="12"/>
        <color rgb="FF000000"/>
        <rFont val="Calibri"/>
        <family val="2"/>
        <scheme val="minor"/>
      </rPr>
      <t>]</t>
    </r>
  </si>
  <si>
    <t xml:space="preserve">[1]	MINISTERIO DE OBRAS PÚBLICAS, “DIAGNÓSTICO DE CALIDAD DE AGUAS ESTERO LA CADENA, REGIÓN DEL LIBERTADOR GENERAL BERNARDO O’HIGGINS.”_x000D_
[2]	INGRID GARCES, “NITRATO DE SODIO.”_x000D_
[3]	J. O. Perry, Robert H , Gree, Don W, Maloney, Perry’s Chemical Engineers’ Handbook. 1997._x000D_
[4]	Visionlearning, “La Gravedad | Physics | Visionlearning.” [En linea]. Disponible: https://www.visionlearning.com/es/library/Física/24/La-Gravedad/118. [Revisado: 20-Nov-2018]._x000D_
_x000D_
</t>
  </si>
  <si>
    <t>k=5,82*10^4</t>
  </si>
  <si>
    <t>sacada de un paper</t>
  </si>
  <si>
    <t>Reacción en estudio</t>
  </si>
  <si>
    <t>l/s</t>
  </si>
  <si>
    <t>CA0</t>
  </si>
  <si>
    <t>mol</t>
  </si>
  <si>
    <t>cb0</t>
  </si>
  <si>
    <t>v0</t>
  </si>
  <si>
    <t>l</t>
  </si>
  <si>
    <t>m^3</t>
  </si>
  <si>
    <t xml:space="preserve">si radio de reactor = </t>
  </si>
  <si>
    <t>m</t>
  </si>
  <si>
    <t xml:space="preserve">largo de ractor= </t>
  </si>
  <si>
    <t>Flujo de agua sin sedimentos</t>
  </si>
  <si>
    <t>Flujo de ácido hipocloroso</t>
  </si>
  <si>
    <t>Concentración materia orgánica a la entrada del reactor</t>
  </si>
  <si>
    <t>Ca0</t>
  </si>
  <si>
    <t>[M]</t>
  </si>
  <si>
    <t xml:space="preserve">Constante cinética de reacción </t>
  </si>
  <si>
    <t>K</t>
  </si>
  <si>
    <t>[1/(mol s)]</t>
  </si>
  <si>
    <t>Conversión global de la reacción</t>
  </si>
  <si>
    <t>X</t>
  </si>
  <si>
    <t>Debido a que existen muchos compuestos orgánicos en el agua, es dificl determinar una constante cinética para la descomposición de todas estas, por lo tanto se elije una constante cinética de una reacción de la cual se tiene estudio. Esta reacción es tetraciclina con acído hipocloroso, el documento no establece la ecución química pero si determina que la ley cinética es de orden uno con respecto a sus reactantes. El balance de la ecuación química se establece con ecuaciones similares.</t>
  </si>
  <si>
    <t>Concentración ácido hipocloroso a la entrada del reactor</t>
  </si>
  <si>
    <t>Cb0</t>
  </si>
  <si>
    <t>Flujo Molar de materia orgánica en el agua a tratar</t>
  </si>
  <si>
    <t>Fa</t>
  </si>
  <si>
    <t>[mol/s]</t>
  </si>
  <si>
    <t>Resultado integral</t>
  </si>
  <si>
    <t>Volumen del reactor</t>
  </si>
  <si>
    <r>
      <t>[m</t>
    </r>
    <r>
      <rPr>
        <vertAlign val="superscript"/>
        <sz val="12"/>
        <color rgb="FF000000"/>
        <rFont val="Calibri"/>
        <family val="2"/>
        <scheme val="minor"/>
      </rPr>
      <t>3</t>
    </r>
    <r>
      <rPr>
        <sz val="12"/>
        <color rgb="FF000000"/>
        <rFont val="Calibri"/>
        <family val="2"/>
        <scheme val="minor"/>
      </rPr>
      <t>]</t>
    </r>
  </si>
  <si>
    <t>[1]	MINISTERIO DE OBRAS PÚBLICAS, “DIAGNÓSTICO DE CALIDAD DE AGUAS ESTERO LA CADENA, REGIÓN DEL LIBERTADOR GENERAL BERNARDO O’HIGGINS.”
[2]	M. Deborde and U. von Gunten, “Reactions of chlorine with inorganic and organic compounds during water treatment—Kinetics and mechanisms: A critical review,” Water Res., vol. 42, no. 1–2, pp. 13–51, Jan. 2008.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</si>
</sst>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0.00000"/>
    <numFmt numFmtId="166" formatCode="0.000E+00"/>
    <numFmt numFmtId="167" formatCode="0.0"/>
    <numFmt numFmtId="168" formatCode="#,##0.000"/>
    <numFmt numFmtId="169" formatCode="#,##0.0"/>
    <numFmt numFmtId="170" formatCode="0.00000E+00"/>
    <numFmt numFmtId="171" formatCode="#,##0.0000"/>
    <numFmt numFmtId="172" formatCode="#,##0.0000000"/>
    <numFmt numFmtId="173" formatCode="0.E+00"/>
  </numFmts>
  <fonts count="48">
    <font>
      <sz val="11"/>
      <color theme="1"/>
      <name val="Calibri"/>
      <family val="2"/>
      <scheme val="minor"/>
    </font>
    <font>
      <sz val="12"/>
      <color theme="1"/>
      <name val="Calibri"/>
      <family val="2"/>
      <scheme val="minor"/>
    </font>
    <font>
      <sz val="12"/>
      <color rgb="FF000000"/>
      <name val="Calibri"/>
      <family val="2"/>
    </font>
    <font>
      <b/>
      <sz val="11"/>
      <color rgb="FF000000"/>
      <name val="Calibri"/>
      <family val="2"/>
      <scheme val="minor"/>
    </font>
    <font>
      <sz val="12"/>
      <color rgb="FF000000"/>
      <name val="Calibri"/>
      <family val="2"/>
      <scheme val="minor"/>
    </font>
    <font>
      <sz val="12"/>
      <name val="Calibri"/>
      <family val="2"/>
      <scheme val="minor"/>
    </font>
    <font>
      <b/>
      <sz val="12"/>
      <name val="Calibri"/>
      <family val="2"/>
      <scheme val="minor"/>
    </font>
    <font>
      <sz val="11"/>
      <color rgb="FF000000"/>
      <name val="Calibri"/>
      <family val="2"/>
      <scheme val="minor"/>
    </font>
    <font>
      <sz val="11"/>
      <color rgb="FF000000"/>
      <name val="Calibri"/>
      <family val="2"/>
    </font>
    <font>
      <vertAlign val="subscript"/>
      <sz val="12"/>
      <color rgb="FF000000"/>
      <name val="Calibri"/>
      <family val="2"/>
      <scheme val="minor"/>
    </font>
    <font>
      <sz val="12"/>
      <color theme="1"/>
      <name val="Calibri"/>
      <family val="2"/>
    </font>
    <font>
      <vertAlign val="subscript"/>
      <sz val="12"/>
      <color theme="1"/>
      <name val="Calibri"/>
      <family val="2"/>
    </font>
    <font>
      <vertAlign val="subscript"/>
      <sz val="12"/>
      <color theme="1"/>
      <name val="Calibri"/>
      <family val="2"/>
      <scheme val="minor"/>
    </font>
    <font>
      <vertAlign val="superscript"/>
      <sz val="12"/>
      <color theme="1"/>
      <name val="Calibri"/>
      <family val="2"/>
      <scheme val="minor"/>
    </font>
    <font>
      <vertAlign val="superscript"/>
      <sz val="12"/>
      <color rgb="FF000000"/>
      <name val="Calibri"/>
      <family val="2"/>
      <scheme val="minor"/>
    </font>
    <font>
      <vertAlign val="subscript"/>
      <sz val="12"/>
      <color rgb="FF000000"/>
      <name val="Calibri"/>
      <family val="2"/>
    </font>
    <font>
      <u/>
      <sz val="11"/>
      <color theme="10"/>
      <name val="Calibri"/>
      <family val="2"/>
      <scheme val="minor"/>
    </font>
    <font>
      <sz val="12"/>
      <color theme="1"/>
      <name val="Cambria Math"/>
      <family val="1"/>
    </font>
    <font>
      <sz val="11"/>
      <color theme="1"/>
      <name val="Calibri"/>
      <family val="2"/>
      <scheme val="minor"/>
    </font>
    <font>
      <sz val="11"/>
      <color theme="1"/>
      <name val="Cambria Math"/>
      <family val="1"/>
    </font>
    <font>
      <sz val="10"/>
      <color theme="1"/>
      <name val="Calibri"/>
      <family val="2"/>
      <scheme val="minor"/>
    </font>
    <font>
      <sz val="9"/>
      <color theme="1"/>
      <name val="Calibri"/>
      <family val="2"/>
      <scheme val="minor"/>
    </font>
    <font>
      <sz val="8"/>
      <color theme="1"/>
      <name val="Calibri"/>
      <family val="2"/>
      <scheme val="minor"/>
    </font>
    <font>
      <sz val="16"/>
      <color theme="1"/>
      <name val="Calibri"/>
      <family val="2"/>
      <scheme val="minor"/>
    </font>
    <font>
      <sz val="10"/>
      <color rgb="FF000000"/>
      <name val="Calibri"/>
      <family val="2"/>
      <scheme val="minor"/>
    </font>
    <font>
      <sz val="9"/>
      <color rgb="FF000000"/>
      <name val="Calibri"/>
      <family val="2"/>
      <scheme val="minor"/>
    </font>
    <font>
      <sz val="8"/>
      <color rgb="FF000000"/>
      <name val="Calibri"/>
      <family val="2"/>
      <scheme val="minor"/>
    </font>
    <font>
      <vertAlign val="subscript"/>
      <sz val="11"/>
      <color theme="1"/>
      <name val="Calibri (Cuerpo)_x0000_"/>
    </font>
    <font>
      <vertAlign val="superscript"/>
      <sz val="11"/>
      <color theme="1"/>
      <name val="Calibri (Cuerpo)_x0000_"/>
    </font>
    <font>
      <sz val="11"/>
      <color theme="1"/>
      <name val="Calibri (Cuerpo)_x0000_"/>
    </font>
    <font>
      <b/>
      <sz val="11"/>
      <color rgb="FF000000"/>
      <name val="Calibri (Cuerpo)_x0000_"/>
    </font>
    <font>
      <sz val="11"/>
      <color rgb="FF000000"/>
      <name val="Calibri (Cuerpo)_x0000_"/>
    </font>
    <font>
      <vertAlign val="subscript"/>
      <sz val="11"/>
      <color theme="1"/>
      <name val="Calibri"/>
      <family val="2"/>
      <scheme val="minor"/>
    </font>
    <font>
      <vertAlign val="superscript"/>
      <sz val="11"/>
      <color theme="1"/>
      <name val="Calibri"/>
      <family val="2"/>
      <scheme val="minor"/>
    </font>
    <font>
      <strike/>
      <sz val="11"/>
      <color theme="1"/>
      <name val="Calibri"/>
      <family val="2"/>
      <scheme val="minor"/>
    </font>
    <font>
      <sz val="10.199999999999999"/>
      <color theme="1"/>
      <name val="Calibri"/>
      <family val="2"/>
    </font>
    <font>
      <sz val="11"/>
      <name val="Calibri"/>
      <family val="2"/>
      <scheme val="minor"/>
    </font>
    <font>
      <sz val="11"/>
      <color rgb="FFED7D31"/>
      <name val="Calibri"/>
      <family val="2"/>
      <scheme val="minor"/>
    </font>
    <font>
      <sz val="11"/>
      <color rgb="FF5B9BD5"/>
      <name val="Calibri"/>
      <family val="2"/>
      <scheme val="minor"/>
    </font>
    <font>
      <sz val="16"/>
      <color theme="1"/>
      <name val="Cambria Math"/>
      <family val="1"/>
    </font>
    <font>
      <sz val="11"/>
      <color rgb="FF000000"/>
      <name val="Cambria Math"/>
      <family val="1"/>
    </font>
    <font>
      <sz val="11"/>
      <color rgb="FFFF0000"/>
      <name val="Calibri"/>
      <family val="2"/>
      <scheme val="minor"/>
    </font>
    <font>
      <sz val="11"/>
      <color rgb="FFFFFF00"/>
      <name val="Calibri"/>
      <family val="2"/>
      <scheme val="minor"/>
    </font>
    <font>
      <vertAlign val="superscript"/>
      <sz val="14"/>
      <color theme="1"/>
      <name val="Calibri"/>
      <family val="2"/>
      <scheme val="minor"/>
    </font>
    <font>
      <sz val="11"/>
      <color theme="1"/>
      <name val="Cambria"/>
      <family val="1"/>
    </font>
    <font>
      <b/>
      <sz val="11"/>
      <color theme="1"/>
      <name val="Cambria"/>
      <family val="1"/>
    </font>
    <font>
      <sz val="11"/>
      <name val="Cambria"/>
      <family val="1"/>
    </font>
    <font>
      <b/>
      <sz val="10"/>
      <color rgb="FF000000"/>
      <name val="Calibri"/>
      <family val="2"/>
      <scheme val="minor"/>
    </font>
  </fonts>
  <fills count="23">
    <fill>
      <patternFill patternType="none"/>
    </fill>
    <fill>
      <patternFill patternType="gray125"/>
    </fill>
    <fill>
      <patternFill patternType="solid">
        <fgColor theme="3"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rgb="FFFCE4D6"/>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FFFFFF"/>
        <bgColor indexed="64"/>
      </patternFill>
    </fill>
    <fill>
      <patternFill patternType="solid">
        <fgColor rgb="FFACB9CA"/>
        <bgColor indexed="64"/>
      </patternFill>
    </fill>
    <fill>
      <patternFill patternType="solid">
        <fgColor rgb="FFF8CBAD"/>
        <bgColor indexed="64"/>
      </patternFill>
    </fill>
    <fill>
      <patternFill patternType="solid">
        <fgColor theme="2"/>
        <bgColor indexed="64"/>
      </patternFill>
    </fill>
    <fill>
      <patternFill patternType="solid">
        <fgColor theme="5"/>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6"/>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diagonal/>
    </border>
    <border>
      <left style="thin">
        <color auto="1"/>
      </left>
      <right style="thin">
        <color auto="1"/>
      </right>
      <top/>
      <bottom style="medium">
        <color indexed="64"/>
      </bottom>
      <diagonal/>
    </border>
    <border>
      <left style="thin">
        <color rgb="FF000000"/>
      </left>
      <right style="thin">
        <color rgb="FF000000"/>
      </right>
      <top style="thin">
        <color rgb="FF000000"/>
      </top>
      <bottom style="medium">
        <color rgb="FF000000"/>
      </bottom>
      <diagonal/>
    </border>
    <border>
      <left/>
      <right style="medium">
        <color indexed="64"/>
      </right>
      <top style="thin">
        <color auto="1"/>
      </top>
      <bottom/>
      <diagonal/>
    </border>
    <border>
      <left style="thin">
        <color auto="1"/>
      </left>
      <right style="thin">
        <color indexed="64"/>
      </right>
      <top style="thin">
        <color rgb="FF000000"/>
      </top>
      <bottom style="thin">
        <color auto="1"/>
      </bottom>
      <diagonal/>
    </border>
    <border>
      <left style="thin">
        <color auto="1"/>
      </left>
      <right style="medium">
        <color indexed="64"/>
      </right>
      <top style="thin">
        <color auto="1"/>
      </top>
      <bottom/>
      <diagonal/>
    </border>
    <border>
      <left style="thin">
        <color rgb="FF000000"/>
      </left>
      <right style="thin">
        <color auto="1"/>
      </right>
      <top style="medium">
        <color indexed="64"/>
      </top>
      <bottom style="thin">
        <color indexed="64"/>
      </bottom>
      <diagonal/>
    </border>
    <border>
      <left style="thin">
        <color indexed="64"/>
      </left>
      <right/>
      <top style="medium">
        <color indexed="64"/>
      </top>
      <bottom style="thin">
        <color auto="1"/>
      </bottom>
      <diagonal/>
    </border>
    <border>
      <left/>
      <right/>
      <top style="thin">
        <color rgb="FF000000"/>
      </top>
      <bottom/>
      <diagonal/>
    </border>
    <border>
      <left style="thin">
        <color auto="1"/>
      </left>
      <right style="medium">
        <color indexed="64"/>
      </right>
      <top style="medium">
        <color indexed="64"/>
      </top>
      <bottom/>
      <diagonal/>
    </border>
    <border>
      <left style="medium">
        <color indexed="64"/>
      </left>
      <right style="thin">
        <color auto="1"/>
      </right>
      <top style="thin">
        <color auto="1"/>
      </top>
      <bottom/>
      <diagonal/>
    </border>
    <border>
      <left style="thin">
        <color auto="1"/>
      </left>
      <right style="thin">
        <color auto="1"/>
      </right>
      <top/>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thin">
        <color auto="1"/>
      </right>
      <top/>
      <bottom style="thin">
        <color auto="1"/>
      </bottom>
      <diagonal/>
    </border>
    <border>
      <left style="thin">
        <color auto="1"/>
      </left>
      <right/>
      <top style="thin">
        <color indexed="64"/>
      </top>
      <bottom/>
      <diagonal/>
    </border>
    <border>
      <left/>
      <right/>
      <top style="thin">
        <color indexed="64"/>
      </top>
      <bottom/>
      <diagonal/>
    </border>
    <border>
      <left style="thin">
        <color auto="1"/>
      </left>
      <right/>
      <top/>
      <bottom/>
      <diagonal/>
    </border>
    <border>
      <left/>
      <right style="thin">
        <color auto="1"/>
      </right>
      <top style="thin">
        <color auto="1"/>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auto="1"/>
      </left>
      <right/>
      <top/>
      <bottom style="medium">
        <color indexed="64"/>
      </bottom>
      <diagonal/>
    </border>
    <border>
      <left/>
      <right/>
      <top style="thin">
        <color indexed="64"/>
      </top>
      <bottom style="medium">
        <color indexed="64"/>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indexed="64"/>
      </right>
      <top style="thin">
        <color auto="1"/>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right/>
      <top style="thin">
        <color rgb="FF000000"/>
      </top>
      <bottom style="thin">
        <color rgb="FF000000"/>
      </bottom>
      <diagonal/>
    </border>
    <border>
      <left style="thin">
        <color auto="1"/>
      </left>
      <right/>
      <top/>
      <bottom style="thin">
        <color auto="1"/>
      </bottom>
      <diagonal/>
    </border>
    <border>
      <left style="thin">
        <color auto="1"/>
      </left>
      <right style="medium">
        <color indexed="64"/>
      </right>
      <top/>
      <bottom style="thin">
        <color auto="1"/>
      </bottom>
      <diagonal/>
    </border>
    <border>
      <left style="thin">
        <color rgb="FF000000"/>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4">
    <xf numFmtId="0" fontId="0" fillId="0" borderId="0"/>
    <xf numFmtId="0" fontId="2" fillId="0" borderId="0"/>
    <xf numFmtId="0" fontId="16" fillId="0" borderId="0" applyNumberFormat="0" applyFill="0" applyBorder="0" applyAlignment="0" applyProtection="0"/>
    <xf numFmtId="9" fontId="18" fillId="0" borderId="0" applyFont="0" applyFill="0" applyBorder="0" applyAlignment="0" applyProtection="0"/>
  </cellStyleXfs>
  <cellXfs count="622">
    <xf numFmtId="0" fontId="0" fillId="0" borderId="0" xfId="0"/>
    <xf numFmtId="0" fontId="4" fillId="0" borderId="2" xfId="1" applyFont="1" applyBorder="1" applyAlignment="1">
      <alignment vertical="center"/>
    </xf>
    <xf numFmtId="0" fontId="2" fillId="0" borderId="0" xfId="1" applyFont="1" applyAlignment="1"/>
    <xf numFmtId="0" fontId="3" fillId="0" borderId="0" xfId="1" applyFont="1" applyAlignment="1">
      <alignment vertical="center" wrapText="1"/>
    </xf>
    <xf numFmtId="0" fontId="4" fillId="0" borderId="0" xfId="1" applyFont="1" applyAlignment="1">
      <alignment vertical="center"/>
    </xf>
    <xf numFmtId="0" fontId="3" fillId="0" borderId="0" xfId="1" applyFont="1" applyAlignment="1">
      <alignment vertical="center"/>
    </xf>
    <xf numFmtId="0" fontId="4" fillId="0" borderId="0" xfId="1" applyFont="1" applyAlignment="1">
      <alignment horizontal="center" vertical="center"/>
    </xf>
    <xf numFmtId="164" fontId="4" fillId="0" borderId="0" xfId="1" applyNumberFormat="1" applyFont="1" applyAlignment="1">
      <alignment horizontal="center" vertical="center"/>
    </xf>
    <xf numFmtId="0" fontId="6" fillId="0" borderId="0" xfId="1" applyFont="1" applyAlignment="1">
      <alignment vertical="center"/>
    </xf>
    <xf numFmtId="0" fontId="4" fillId="0" borderId="1" xfId="1" applyFont="1" applyBorder="1" applyAlignment="1">
      <alignment vertical="center"/>
    </xf>
    <xf numFmtId="164" fontId="4" fillId="0" borderId="1" xfId="1" applyNumberFormat="1" applyFont="1" applyBorder="1" applyAlignment="1">
      <alignment horizontal="center" vertical="center"/>
    </xf>
    <xf numFmtId="1" fontId="4" fillId="0" borderId="1" xfId="1" applyNumberFormat="1" applyFont="1" applyBorder="1" applyAlignment="1">
      <alignment horizontal="center" vertical="center"/>
    </xf>
    <xf numFmtId="0" fontId="4" fillId="0" borderId="2" xfId="1" applyFont="1" applyBorder="1" applyAlignment="1">
      <alignment horizontal="center" vertical="center"/>
    </xf>
    <xf numFmtId="0" fontId="4" fillId="0" borderId="2" xfId="1" applyFont="1" applyBorder="1" applyAlignment="1"/>
    <xf numFmtId="0" fontId="4" fillId="0" borderId="11" xfId="1" applyFont="1" applyBorder="1" applyAlignment="1">
      <alignment vertical="center"/>
    </xf>
    <xf numFmtId="0" fontId="4" fillId="0" borderId="12" xfId="1" applyFont="1" applyBorder="1" applyAlignment="1">
      <alignment horizontal="center" vertical="center"/>
    </xf>
    <xf numFmtId="164" fontId="4" fillId="0" borderId="12" xfId="1" applyNumberFormat="1" applyFont="1" applyBorder="1" applyAlignment="1">
      <alignment horizontal="center" vertical="center"/>
    </xf>
    <xf numFmtId="0" fontId="4" fillId="0" borderId="12" xfId="1" applyFont="1" applyBorder="1" applyAlignment="1">
      <alignment vertical="center"/>
    </xf>
    <xf numFmtId="0" fontId="4" fillId="0" borderId="13" xfId="1" applyFont="1" applyBorder="1" applyAlignment="1">
      <alignment vertical="center"/>
    </xf>
    <xf numFmtId="0" fontId="4" fillId="0" borderId="15" xfId="1" applyFont="1" applyBorder="1" applyAlignment="1">
      <alignment vertical="center"/>
    </xf>
    <xf numFmtId="0" fontId="4" fillId="0" borderId="5" xfId="1" applyFont="1" applyBorder="1" applyAlignment="1">
      <alignment horizontal="center" vertical="center"/>
    </xf>
    <xf numFmtId="1" fontId="4" fillId="0" borderId="5" xfId="1" applyNumberFormat="1" applyFont="1" applyBorder="1" applyAlignment="1">
      <alignment horizontal="center" vertical="center"/>
    </xf>
    <xf numFmtId="0" fontId="4" fillId="0" borderId="6" xfId="1" applyFont="1" applyBorder="1" applyAlignment="1">
      <alignment vertical="center"/>
    </xf>
    <xf numFmtId="0" fontId="3" fillId="2" borderId="3" xfId="1" applyFont="1" applyFill="1" applyBorder="1" applyAlignment="1">
      <alignment vertical="center"/>
    </xf>
    <xf numFmtId="0" fontId="3" fillId="2" borderId="3" xfId="1" applyFont="1" applyFill="1" applyBorder="1" applyAlignment="1">
      <alignment horizontal="center" vertical="center"/>
    </xf>
    <xf numFmtId="164" fontId="3" fillId="2" borderId="3" xfId="1" applyNumberFormat="1" applyFont="1" applyFill="1" applyBorder="1" applyAlignment="1">
      <alignment horizontal="center" vertical="center"/>
    </xf>
    <xf numFmtId="0" fontId="3" fillId="2" borderId="10" xfId="1" applyFont="1" applyFill="1" applyBorder="1" applyAlignment="1">
      <alignment vertical="center"/>
    </xf>
    <xf numFmtId="0" fontId="0" fillId="0" borderId="0" xfId="0" applyAlignment="1">
      <alignment wrapText="1"/>
    </xf>
    <xf numFmtId="4" fontId="0" fillId="0" borderId="0" xfId="0" applyNumberFormat="1"/>
    <xf numFmtId="4" fontId="0" fillId="5" borderId="1" xfId="0" applyNumberFormat="1" applyFill="1" applyBorder="1"/>
    <xf numFmtId="1" fontId="0" fillId="0" borderId="0" xfId="0" applyNumberFormat="1"/>
    <xf numFmtId="4" fontId="0" fillId="6" borderId="1" xfId="0" applyNumberFormat="1" applyFill="1" applyBorder="1"/>
    <xf numFmtId="0" fontId="0" fillId="0" borderId="19" xfId="0" applyBorder="1"/>
    <xf numFmtId="0" fontId="7" fillId="0" borderId="19" xfId="1" applyFont="1" applyBorder="1" applyAlignment="1">
      <alignment vertical="center"/>
    </xf>
    <xf numFmtId="0" fontId="8" fillId="0" borderId="0" xfId="1" applyFont="1" applyAlignment="1"/>
    <xf numFmtId="0" fontId="4" fillId="0" borderId="19" xfId="1" applyFont="1" applyBorder="1" applyAlignment="1">
      <alignment horizontal="center" vertical="center"/>
    </xf>
    <xf numFmtId="0" fontId="0" fillId="0" borderId="19" xfId="0" applyFont="1" applyBorder="1"/>
    <xf numFmtId="0" fontId="0" fillId="0" borderId="19" xfId="1" applyFont="1" applyBorder="1" applyAlignment="1">
      <alignment vertical="center"/>
    </xf>
    <xf numFmtId="0" fontId="4" fillId="0" borderId="25" xfId="1" applyFont="1" applyBorder="1" applyAlignment="1">
      <alignment vertical="center"/>
    </xf>
    <xf numFmtId="0" fontId="3" fillId="2" borderId="26" xfId="1" applyFont="1" applyFill="1" applyBorder="1" applyAlignment="1">
      <alignment vertical="center"/>
    </xf>
    <xf numFmtId="0" fontId="3" fillId="2" borderId="26" xfId="1" applyFont="1" applyFill="1" applyBorder="1" applyAlignment="1">
      <alignment horizontal="center" vertical="center"/>
    </xf>
    <xf numFmtId="164" fontId="3" fillId="2" borderId="26" xfId="1" applyNumberFormat="1" applyFont="1" applyFill="1" applyBorder="1" applyAlignment="1">
      <alignment horizontal="center" vertical="center"/>
    </xf>
    <xf numFmtId="0" fontId="3" fillId="2" borderId="0" xfId="1" applyFont="1" applyFill="1" applyBorder="1" applyAlignment="1">
      <alignment vertical="center"/>
    </xf>
    <xf numFmtId="0" fontId="0" fillId="0" borderId="28" xfId="0" applyBorder="1"/>
    <xf numFmtId="0" fontId="0" fillId="0" borderId="19" xfId="0" applyBorder="1" applyAlignment="1">
      <alignment horizontal="center"/>
    </xf>
    <xf numFmtId="4" fontId="0" fillId="0" borderId="19" xfId="0" applyNumberFormat="1" applyBorder="1" applyAlignment="1">
      <alignment horizontal="center"/>
    </xf>
    <xf numFmtId="0" fontId="7" fillId="0" borderId="12" xfId="1" applyFont="1" applyBorder="1" applyAlignment="1">
      <alignment horizontal="center" vertical="center"/>
    </xf>
    <xf numFmtId="4" fontId="0" fillId="0" borderId="19" xfId="0" applyNumberFormat="1" applyFont="1" applyBorder="1" applyAlignment="1">
      <alignment horizontal="center"/>
    </xf>
    <xf numFmtId="0" fontId="0" fillId="0" borderId="19" xfId="0" applyFont="1" applyBorder="1" applyAlignment="1">
      <alignment horizontal="center"/>
    </xf>
    <xf numFmtId="0" fontId="7" fillId="0" borderId="1" xfId="1" applyFont="1" applyBorder="1" applyAlignment="1">
      <alignment horizontal="center" vertical="center"/>
    </xf>
    <xf numFmtId="0" fontId="0" fillId="0" borderId="1" xfId="1" applyFont="1" applyBorder="1" applyAlignment="1">
      <alignment horizontal="center" vertical="center"/>
    </xf>
    <xf numFmtId="0" fontId="0" fillId="0" borderId="1" xfId="0" applyFont="1" applyBorder="1"/>
    <xf numFmtId="0" fontId="0" fillId="0" borderId="30" xfId="0" applyFont="1" applyBorder="1" applyAlignment="1">
      <alignment horizontal="center"/>
    </xf>
    <xf numFmtId="0" fontId="0" fillId="0" borderId="14" xfId="1" applyFont="1" applyBorder="1" applyAlignment="1">
      <alignment vertical="center"/>
    </xf>
    <xf numFmtId="0" fontId="0" fillId="0" borderId="1" xfId="1" applyFont="1" applyBorder="1" applyAlignment="1">
      <alignment horizontal="center"/>
    </xf>
    <xf numFmtId="1" fontId="0" fillId="0" borderId="1" xfId="1" applyNumberFormat="1" applyFont="1" applyBorder="1" applyAlignment="1">
      <alignment horizontal="center" vertical="center"/>
    </xf>
    <xf numFmtId="0" fontId="2" fillId="0" borderId="1" xfId="1" applyFont="1" applyBorder="1" applyAlignment="1"/>
    <xf numFmtId="0" fontId="0" fillId="0" borderId="0" xfId="0" applyFont="1"/>
    <xf numFmtId="0" fontId="10" fillId="0" borderId="19" xfId="1" applyFont="1" applyBorder="1" applyAlignment="1">
      <alignment horizontal="center" vertical="center"/>
    </xf>
    <xf numFmtId="0" fontId="4" fillId="0" borderId="2" xfId="1" applyFont="1" applyBorder="1" applyAlignment="1">
      <alignment horizontal="center"/>
    </xf>
    <xf numFmtId="0" fontId="4" fillId="0" borderId="32" xfId="1" applyFont="1" applyBorder="1" applyAlignment="1">
      <alignment horizontal="center" vertical="center"/>
    </xf>
    <xf numFmtId="0" fontId="4" fillId="0" borderId="20" xfId="1" applyFont="1" applyBorder="1" applyAlignment="1">
      <alignment horizontal="center" vertical="center"/>
    </xf>
    <xf numFmtId="167" fontId="4" fillId="0" borderId="2" xfId="1" applyNumberFormat="1" applyFont="1" applyBorder="1" applyAlignment="1">
      <alignment horizontal="center" vertical="center"/>
    </xf>
    <xf numFmtId="167" fontId="4" fillId="0" borderId="1" xfId="1" applyNumberFormat="1" applyFont="1" applyBorder="1" applyAlignment="1">
      <alignment horizontal="center" vertical="center"/>
    </xf>
    <xf numFmtId="0" fontId="0" fillId="0" borderId="1" xfId="0" applyBorder="1"/>
    <xf numFmtId="0" fontId="0" fillId="0" borderId="12" xfId="0" applyBorder="1"/>
    <xf numFmtId="0" fontId="0" fillId="0" borderId="1" xfId="0" applyBorder="1" applyAlignment="1">
      <alignment horizontal="center"/>
    </xf>
    <xf numFmtId="0" fontId="0" fillId="0" borderId="33" xfId="0" applyBorder="1" applyAlignment="1">
      <alignment horizontal="center"/>
    </xf>
    <xf numFmtId="0" fontId="0" fillId="0" borderId="30" xfId="0" applyFont="1" applyFill="1" applyBorder="1"/>
    <xf numFmtId="0" fontId="0" fillId="0" borderId="34" xfId="0" applyFont="1" applyBorder="1"/>
    <xf numFmtId="4" fontId="0" fillId="0" borderId="34" xfId="0" applyNumberFormat="1" applyFont="1" applyBorder="1" applyAlignment="1">
      <alignment horizontal="center"/>
    </xf>
    <xf numFmtId="168" fontId="0" fillId="0" borderId="34" xfId="0" applyNumberFormat="1" applyFont="1" applyBorder="1" applyAlignment="1">
      <alignment horizontal="center"/>
    </xf>
    <xf numFmtId="0" fontId="4" fillId="0" borderId="35" xfId="1" applyFont="1" applyBorder="1" applyAlignment="1">
      <alignment vertical="center"/>
    </xf>
    <xf numFmtId="0" fontId="0" fillId="0" borderId="2" xfId="0" applyFont="1" applyBorder="1" applyAlignment="1">
      <alignment horizontal="center"/>
    </xf>
    <xf numFmtId="0" fontId="4" fillId="0" borderId="2" xfId="1" applyFont="1" applyBorder="1" applyAlignment="1">
      <alignment vertical="center" wrapText="1"/>
    </xf>
    <xf numFmtId="0" fontId="4" fillId="0" borderId="2" xfId="1" applyFont="1" applyBorder="1" applyAlignment="1">
      <alignment horizontal="center" vertical="center" wrapText="1"/>
    </xf>
    <xf numFmtId="164" fontId="4" fillId="0" borderId="2" xfId="1" applyNumberFormat="1" applyFont="1" applyBorder="1" applyAlignment="1">
      <alignment horizontal="center" vertical="center" wrapText="1"/>
    </xf>
    <xf numFmtId="0" fontId="4" fillId="0" borderId="2" xfId="1" applyFont="1" applyBorder="1" applyAlignment="1">
      <alignment wrapText="1"/>
    </xf>
    <xf numFmtId="0" fontId="4" fillId="0" borderId="1" xfId="1" applyFont="1" applyBorder="1" applyAlignment="1">
      <alignment vertical="center" wrapText="1"/>
    </xf>
    <xf numFmtId="164" fontId="4" fillId="0" borderId="1" xfId="1" applyNumberFormat="1" applyFont="1" applyBorder="1" applyAlignment="1">
      <alignment horizontal="center" vertical="center" wrapText="1"/>
    </xf>
    <xf numFmtId="0" fontId="4" fillId="0" borderId="11" xfId="1" applyFont="1" applyBorder="1" applyAlignment="1">
      <alignment vertical="center" wrapText="1"/>
    </xf>
    <xf numFmtId="0" fontId="16" fillId="0" borderId="15" xfId="2" applyBorder="1" applyAlignment="1">
      <alignment vertical="center"/>
    </xf>
    <xf numFmtId="167" fontId="0" fillId="0" borderId="1" xfId="0" applyNumberFormat="1" applyBorder="1"/>
    <xf numFmtId="167" fontId="4" fillId="0" borderId="1" xfId="1" applyNumberFormat="1" applyFont="1" applyBorder="1" applyAlignment="1">
      <alignment vertical="center"/>
    </xf>
    <xf numFmtId="4" fontId="4" fillId="0" borderId="2" xfId="1" applyNumberFormat="1" applyFont="1" applyBorder="1" applyAlignment="1">
      <alignment horizontal="center" vertical="center"/>
    </xf>
    <xf numFmtId="0" fontId="19" fillId="0" borderId="0" xfId="0" applyFont="1" applyAlignment="1">
      <alignment horizontal="center"/>
    </xf>
    <xf numFmtId="0" fontId="4" fillId="0" borderId="0" xfId="1" applyFont="1" applyBorder="1" applyAlignment="1">
      <alignment vertical="center"/>
    </xf>
    <xf numFmtId="0" fontId="0" fillId="0" borderId="0" xfId="0" applyBorder="1"/>
    <xf numFmtId="0" fontId="4" fillId="0" borderId="33" xfId="1" applyFont="1" applyBorder="1" applyAlignment="1">
      <alignment horizontal="center" vertical="center"/>
    </xf>
    <xf numFmtId="0" fontId="4" fillId="0" borderId="38" xfId="1" applyFont="1" applyBorder="1" applyAlignment="1">
      <alignment horizontal="center" vertical="center"/>
    </xf>
    <xf numFmtId="0" fontId="4" fillId="0" borderId="39" xfId="1" applyFont="1" applyBorder="1" applyAlignment="1">
      <alignment horizontal="center" vertic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3" fillId="2" borderId="40" xfId="1" applyFont="1" applyFill="1" applyBorder="1" applyAlignment="1">
      <alignment horizontal="center" vertical="center"/>
    </xf>
    <xf numFmtId="0" fontId="3" fillId="2" borderId="41" xfId="1" applyFont="1" applyFill="1" applyBorder="1" applyAlignment="1">
      <alignment horizontal="center" vertical="center"/>
    </xf>
    <xf numFmtId="0" fontId="3" fillId="2" borderId="1" xfId="1" applyFont="1" applyFill="1" applyBorder="1" applyAlignment="1">
      <alignment vertical="center"/>
    </xf>
    <xf numFmtId="164" fontId="3" fillId="2" borderId="1" xfId="1" applyNumberFormat="1" applyFont="1" applyFill="1" applyBorder="1" applyAlignment="1">
      <alignment horizontal="center" vertical="center"/>
    </xf>
    <xf numFmtId="0" fontId="0" fillId="0" borderId="1" xfId="0" applyFont="1" applyBorder="1" applyAlignment="1">
      <alignment horizontal="center" vertical="center"/>
    </xf>
    <xf numFmtId="0" fontId="31" fillId="0" borderId="0" xfId="1" applyFont="1" applyAlignment="1"/>
    <xf numFmtId="0" fontId="30" fillId="2" borderId="3" xfId="1" applyFont="1" applyFill="1" applyBorder="1" applyAlignment="1">
      <alignment vertical="center"/>
    </xf>
    <xf numFmtId="0" fontId="30" fillId="2" borderId="3" xfId="1" applyFont="1" applyFill="1" applyBorder="1" applyAlignment="1">
      <alignment horizontal="center" vertical="center"/>
    </xf>
    <xf numFmtId="164" fontId="30" fillId="2" borderId="3" xfId="1" applyNumberFormat="1" applyFont="1" applyFill="1" applyBorder="1" applyAlignment="1">
      <alignment horizontal="center" vertical="center"/>
    </xf>
    <xf numFmtId="0" fontId="30" fillId="2" borderId="10" xfId="1" applyFont="1" applyFill="1" applyBorder="1" applyAlignment="1">
      <alignment vertical="center"/>
    </xf>
    <xf numFmtId="0" fontId="31" fillId="0" borderId="11" xfId="1" applyFont="1" applyBorder="1" applyAlignment="1">
      <alignment vertical="center"/>
    </xf>
    <xf numFmtId="0" fontId="31" fillId="0" borderId="12" xfId="1" applyFont="1" applyBorder="1" applyAlignment="1">
      <alignment horizontal="center" vertical="center"/>
    </xf>
    <xf numFmtId="164" fontId="31" fillId="0" borderId="12" xfId="1" applyNumberFormat="1" applyFont="1" applyBorder="1" applyAlignment="1">
      <alignment horizontal="center" vertical="center"/>
    </xf>
    <xf numFmtId="0" fontId="31" fillId="0" borderId="13" xfId="1" applyFont="1" applyBorder="1" applyAlignment="1">
      <alignment vertical="center"/>
    </xf>
    <xf numFmtId="0" fontId="29" fillId="0" borderId="14" xfId="1" applyFont="1" applyBorder="1" applyAlignment="1">
      <alignment vertical="center"/>
    </xf>
    <xf numFmtId="0" fontId="31" fillId="0" borderId="1" xfId="1" applyFont="1" applyBorder="1" applyAlignment="1">
      <alignment horizontal="center" vertical="center"/>
    </xf>
    <xf numFmtId="164" fontId="29" fillId="0" borderId="1" xfId="1" applyNumberFormat="1" applyFont="1" applyBorder="1" applyAlignment="1">
      <alignment horizontal="center" vertical="center"/>
    </xf>
    <xf numFmtId="0" fontId="29" fillId="0" borderId="1" xfId="1" applyFont="1" applyBorder="1" applyAlignment="1">
      <alignment horizontal="center" vertical="center"/>
    </xf>
    <xf numFmtId="0" fontId="29" fillId="0" borderId="15" xfId="1" applyFont="1" applyBorder="1" applyAlignment="1">
      <alignment vertical="center"/>
    </xf>
    <xf numFmtId="0" fontId="29" fillId="0" borderId="0" xfId="0" applyFont="1"/>
    <xf numFmtId="0" fontId="29" fillId="0" borderId="1" xfId="0" applyFont="1" applyBorder="1" applyAlignment="1">
      <alignment horizontal="center" vertical="center"/>
    </xf>
    <xf numFmtId="0" fontId="29" fillId="0" borderId="1" xfId="1" applyFont="1" applyBorder="1" applyAlignment="1">
      <alignment vertical="center"/>
    </xf>
    <xf numFmtId="167" fontId="29" fillId="0" borderId="1" xfId="1" applyNumberFormat="1" applyFont="1" applyBorder="1" applyAlignment="1">
      <alignment horizontal="center" vertical="center"/>
    </xf>
    <xf numFmtId="169" fontId="29" fillId="0" borderId="1" xfId="1" applyNumberFormat="1" applyFont="1" applyBorder="1" applyAlignment="1">
      <alignment horizontal="center"/>
    </xf>
    <xf numFmtId="2" fontId="29" fillId="0" borderId="1" xfId="1" applyNumberFormat="1" applyFont="1" applyBorder="1" applyAlignment="1">
      <alignment horizontal="center" vertical="center"/>
    </xf>
    <xf numFmtId="0" fontId="29" fillId="0" borderId="36" xfId="1" applyFont="1" applyBorder="1" applyAlignment="1">
      <alignment vertical="center"/>
    </xf>
    <xf numFmtId="0" fontId="29" fillId="0" borderId="0" xfId="0" applyFont="1" applyAlignment="1">
      <alignment horizontal="center" vertical="center"/>
    </xf>
    <xf numFmtId="1" fontId="29" fillId="0" borderId="22" xfId="1" applyNumberFormat="1" applyFont="1" applyBorder="1" applyAlignment="1">
      <alignment horizontal="center" vertical="center"/>
    </xf>
    <xf numFmtId="0" fontId="29" fillId="0" borderId="22" xfId="1" applyFont="1" applyBorder="1" applyAlignment="1">
      <alignment vertical="center"/>
    </xf>
    <xf numFmtId="0" fontId="29" fillId="0" borderId="31" xfId="1" applyFont="1" applyBorder="1" applyAlignment="1">
      <alignment vertical="center"/>
    </xf>
    <xf numFmtId="2" fontId="29" fillId="0" borderId="22" xfId="1" applyNumberFormat="1" applyFont="1" applyBorder="1" applyAlignment="1">
      <alignment horizontal="center" vertical="center"/>
    </xf>
    <xf numFmtId="0" fontId="0" fillId="0" borderId="36" xfId="1" applyFont="1" applyBorder="1" applyAlignment="1">
      <alignment vertical="center"/>
    </xf>
    <xf numFmtId="1" fontId="0" fillId="0" borderId="22" xfId="1" applyNumberFormat="1" applyFont="1" applyBorder="1" applyAlignment="1">
      <alignment horizontal="center" vertical="center"/>
    </xf>
    <xf numFmtId="0" fontId="0" fillId="0" borderId="22" xfId="1" applyFont="1" applyBorder="1" applyAlignment="1">
      <alignment vertical="center"/>
    </xf>
    <xf numFmtId="0" fontId="0" fillId="0" borderId="31" xfId="1" applyFont="1" applyBorder="1" applyAlignment="1">
      <alignment vertical="center"/>
    </xf>
    <xf numFmtId="9" fontId="0" fillId="0" borderId="1" xfId="3" applyNumberFormat="1" applyFont="1" applyBorder="1" applyAlignment="1">
      <alignment horizontal="center" vertical="center"/>
    </xf>
    <xf numFmtId="0" fontId="0" fillId="0" borderId="4" xfId="1" applyFont="1" applyBorder="1" applyAlignment="1">
      <alignment vertical="center"/>
    </xf>
    <xf numFmtId="0" fontId="0" fillId="0" borderId="5" xfId="1" applyFont="1" applyBorder="1" applyAlignment="1">
      <alignment horizontal="center" vertical="center"/>
    </xf>
    <xf numFmtId="0" fontId="0" fillId="0" borderId="5" xfId="1" applyFont="1" applyBorder="1" applyAlignment="1">
      <alignment vertical="center"/>
    </xf>
    <xf numFmtId="0" fontId="0" fillId="0" borderId="6" xfId="1" applyFont="1" applyBorder="1" applyAlignment="1">
      <alignment vertical="center"/>
    </xf>
    <xf numFmtId="164" fontId="7" fillId="0" borderId="1" xfId="1" applyNumberFormat="1" applyFont="1" applyBorder="1" applyAlignment="1">
      <alignment horizontal="center" vertical="center"/>
    </xf>
    <xf numFmtId="0" fontId="7" fillId="0" borderId="1" xfId="1" applyFont="1" applyBorder="1" applyAlignment="1">
      <alignment vertical="center"/>
    </xf>
    <xf numFmtId="0" fontId="7" fillId="0" borderId="2" xfId="1" applyFont="1" applyBorder="1" applyAlignment="1">
      <alignment vertical="center"/>
    </xf>
    <xf numFmtId="0" fontId="7" fillId="0" borderId="2" xfId="1" applyFont="1" applyBorder="1" applyAlignment="1">
      <alignment horizontal="center" vertical="center"/>
    </xf>
    <xf numFmtId="164" fontId="7" fillId="0" borderId="2" xfId="1" applyNumberFormat="1" applyFont="1" applyBorder="1" applyAlignment="1">
      <alignment horizontal="center" vertical="center"/>
    </xf>
    <xf numFmtId="4" fontId="4" fillId="0" borderId="1" xfId="1" applyNumberFormat="1" applyFont="1" applyBorder="1" applyAlignment="1">
      <alignment vertical="center"/>
    </xf>
    <xf numFmtId="0" fontId="4" fillId="0" borderId="44" xfId="1" applyFont="1" applyBorder="1" applyAlignment="1">
      <alignment vertical="center" wrapText="1"/>
    </xf>
    <xf numFmtId="4" fontId="4" fillId="0" borderId="1" xfId="1" applyNumberFormat="1" applyFont="1" applyBorder="1" applyAlignment="1">
      <alignment vertical="center" wrapText="1"/>
    </xf>
    <xf numFmtId="0" fontId="0" fillId="0" borderId="1" xfId="0" applyFont="1" applyFill="1" applyBorder="1"/>
    <xf numFmtId="0" fontId="0" fillId="0" borderId="1" xfId="0" applyFont="1" applyBorder="1" applyAlignment="1">
      <alignment horizontal="center"/>
    </xf>
    <xf numFmtId="0" fontId="7" fillId="0" borderId="0" xfId="1" applyFont="1" applyBorder="1" applyAlignment="1">
      <alignment vertical="center" wrapText="1"/>
    </xf>
    <xf numFmtId="16" fontId="0" fillId="0" borderId="19" xfId="0" applyNumberFormat="1" applyBorder="1"/>
    <xf numFmtId="0" fontId="0" fillId="0" borderId="19" xfId="0" applyBorder="1" applyAlignment="1"/>
    <xf numFmtId="0" fontId="10" fillId="0" borderId="1" xfId="1" applyFont="1" applyBorder="1" applyAlignment="1">
      <alignment horizontal="center" vertical="center"/>
    </xf>
    <xf numFmtId="0" fontId="0" fillId="11" borderId="19" xfId="0" applyFill="1" applyBorder="1"/>
    <xf numFmtId="0" fontId="34" fillId="11" borderId="19" xfId="0" applyFont="1" applyFill="1" applyBorder="1"/>
    <xf numFmtId="164" fontId="4" fillId="0" borderId="19" xfId="1" applyNumberFormat="1" applyFont="1" applyBorder="1" applyAlignment="1">
      <alignment horizontal="center" vertical="center"/>
    </xf>
    <xf numFmtId="0" fontId="2" fillId="0" borderId="19" xfId="1" applyFont="1" applyBorder="1" applyAlignment="1">
      <alignment horizontal="center"/>
    </xf>
    <xf numFmtId="0" fontId="0" fillId="0" borderId="19" xfId="0" applyBorder="1" applyAlignment="1">
      <alignment horizontal="center" wrapText="1"/>
    </xf>
    <xf numFmtId="0" fontId="7" fillId="0" borderId="19" xfId="1" applyFont="1" applyBorder="1" applyAlignment="1">
      <alignment horizontal="center" vertical="center"/>
    </xf>
    <xf numFmtId="164" fontId="7" fillId="0" borderId="19" xfId="1" applyNumberFormat="1" applyFont="1" applyBorder="1" applyAlignment="1">
      <alignment horizontal="center" vertical="center"/>
    </xf>
    <xf numFmtId="0" fontId="7" fillId="0" borderId="19" xfId="1" applyFont="1" applyBorder="1" applyAlignment="1">
      <alignment horizontal="center"/>
    </xf>
    <xf numFmtId="0" fontId="36" fillId="0" borderId="19" xfId="1" applyFont="1" applyBorder="1" applyAlignment="1">
      <alignment horizontal="center" vertical="center"/>
    </xf>
    <xf numFmtId="0" fontId="8" fillId="0" borderId="19" xfId="1" applyFont="1" applyBorder="1" applyAlignment="1">
      <alignment horizontal="center"/>
    </xf>
    <xf numFmtId="0" fontId="0" fillId="0" borderId="19" xfId="0" applyFont="1" applyBorder="1" applyAlignment="1">
      <alignment horizontal="center" wrapText="1"/>
    </xf>
    <xf numFmtId="0" fontId="0" fillId="10" borderId="19" xfId="0" applyFill="1" applyBorder="1" applyAlignment="1">
      <alignment horizontal="center"/>
    </xf>
    <xf numFmtId="170" fontId="0" fillId="0" borderId="0" xfId="0" applyNumberFormat="1"/>
    <xf numFmtId="0" fontId="0" fillId="10" borderId="19" xfId="0" applyFill="1" applyBorder="1" applyAlignment="1">
      <alignment horizontal="left"/>
    </xf>
    <xf numFmtId="0" fontId="0" fillId="0" borderId="19" xfId="0" applyBorder="1" applyAlignment="1">
      <alignment horizontal="left"/>
    </xf>
    <xf numFmtId="0" fontId="7" fillId="0" borderId="19" xfId="1" applyFont="1" applyBorder="1" applyAlignment="1">
      <alignment horizontal="left" vertical="center"/>
    </xf>
    <xf numFmtId="0" fontId="0" fillId="10" borderId="19" xfId="0" applyFill="1" applyBorder="1" applyAlignment="1"/>
    <xf numFmtId="0" fontId="4" fillId="0" borderId="19" xfId="1" applyFont="1" applyBorder="1" applyAlignment="1">
      <alignment vertical="center"/>
    </xf>
    <xf numFmtId="1" fontId="4" fillId="0" borderId="19" xfId="1" applyNumberFormat="1" applyFont="1" applyBorder="1" applyAlignment="1">
      <alignment vertical="center"/>
    </xf>
    <xf numFmtId="0" fontId="16" fillId="0" borderId="19" xfId="2" applyFont="1" applyBorder="1" applyAlignment="1">
      <alignment horizontal="center"/>
    </xf>
    <xf numFmtId="0" fontId="0" fillId="10" borderId="19" xfId="0" applyFont="1" applyFill="1" applyBorder="1"/>
    <xf numFmtId="0" fontId="8" fillId="0" borderId="19" xfId="1" applyFont="1" applyBorder="1" applyAlignment="1"/>
    <xf numFmtId="0" fontId="0" fillId="0" borderId="5" xfId="0" applyBorder="1"/>
    <xf numFmtId="0" fontId="2" fillId="6" borderId="0" xfId="1" applyFont="1" applyFill="1" applyAlignment="1"/>
    <xf numFmtId="0" fontId="0" fillId="6" borderId="0" xfId="0" applyFill="1"/>
    <xf numFmtId="0" fontId="3" fillId="6" borderId="22" xfId="1" applyFont="1" applyFill="1" applyBorder="1" applyAlignment="1">
      <alignment vertical="center" wrapText="1"/>
    </xf>
    <xf numFmtId="0" fontId="3" fillId="6" borderId="37" xfId="1" applyFont="1" applyFill="1" applyBorder="1" applyAlignment="1">
      <alignment vertical="center" wrapText="1"/>
    </xf>
    <xf numFmtId="0" fontId="2" fillId="6" borderId="17" xfId="1" applyFont="1" applyFill="1" applyBorder="1" applyAlignment="1"/>
    <xf numFmtId="0" fontId="2" fillId="6" borderId="46" xfId="1" applyFont="1" applyFill="1" applyBorder="1" applyAlignment="1"/>
    <xf numFmtId="0" fontId="2" fillId="6" borderId="0" xfId="1" applyFont="1" applyFill="1" applyBorder="1" applyAlignment="1"/>
    <xf numFmtId="0" fontId="3" fillId="6" borderId="47" xfId="1" applyFont="1" applyFill="1" applyBorder="1" applyAlignment="1">
      <alignment vertical="center" wrapText="1"/>
    </xf>
    <xf numFmtId="0" fontId="4" fillId="6" borderId="0" xfId="1" applyFont="1" applyFill="1" applyAlignment="1">
      <alignment horizontal="center" vertical="center"/>
    </xf>
    <xf numFmtId="164" fontId="4" fillId="6" borderId="0" xfId="1" applyNumberFormat="1" applyFont="1" applyFill="1" applyAlignment="1">
      <alignment horizontal="center" vertical="center"/>
    </xf>
    <xf numFmtId="0" fontId="5" fillId="6" borderId="0" xfId="1" applyFont="1" applyFill="1" applyAlignment="1">
      <alignment vertical="center"/>
    </xf>
    <xf numFmtId="0" fontId="4" fillId="6" borderId="0" xfId="1" applyFont="1" applyFill="1" applyAlignment="1">
      <alignment vertical="center"/>
    </xf>
    <xf numFmtId="0" fontId="3" fillId="6" borderId="46" xfId="1" applyFont="1" applyFill="1" applyBorder="1" applyAlignment="1">
      <alignment vertical="center"/>
    </xf>
    <xf numFmtId="0" fontId="3" fillId="6" borderId="10" xfId="1" applyFont="1" applyFill="1" applyBorder="1" applyAlignment="1">
      <alignment vertical="center"/>
    </xf>
    <xf numFmtId="0" fontId="3" fillId="6" borderId="52" xfId="1" applyFont="1" applyFill="1" applyBorder="1" applyAlignment="1">
      <alignment vertical="center" wrapText="1"/>
    </xf>
    <xf numFmtId="0" fontId="3" fillId="6" borderId="17" xfId="1" applyFont="1" applyFill="1" applyBorder="1" applyAlignment="1">
      <alignment vertical="center"/>
    </xf>
    <xf numFmtId="0" fontId="0" fillId="0" borderId="1" xfId="0" applyBorder="1" applyAlignment="1">
      <alignment horizontal="center" vertical="center"/>
    </xf>
    <xf numFmtId="0" fontId="10" fillId="0" borderId="1" xfId="1" applyFont="1" applyFill="1" applyBorder="1" applyAlignment="1">
      <alignment horizontal="center" vertical="center"/>
    </xf>
    <xf numFmtId="0" fontId="0" fillId="0" borderId="1" xfId="0" applyFill="1" applyBorder="1" applyAlignment="1">
      <alignment horizontal="center" vertical="center"/>
    </xf>
    <xf numFmtId="0" fontId="0" fillId="0" borderId="0" xfId="0" applyBorder="1" applyAlignment="1">
      <alignment horizontal="center" vertical="center"/>
    </xf>
    <xf numFmtId="0" fontId="0" fillId="0" borderId="4" xfId="0" applyBorder="1"/>
    <xf numFmtId="4" fontId="0" fillId="6" borderId="0" xfId="0" applyNumberFormat="1" applyFill="1"/>
    <xf numFmtId="0" fontId="39" fillId="0" borderId="0" xfId="0" applyFont="1"/>
    <xf numFmtId="4" fontId="4" fillId="0" borderId="0" xfId="1" applyNumberFormat="1" applyFont="1" applyBorder="1" applyAlignment="1">
      <alignment vertical="center"/>
    </xf>
    <xf numFmtId="4" fontId="4" fillId="0" borderId="17" xfId="1" applyNumberFormat="1" applyFont="1" applyBorder="1" applyAlignment="1">
      <alignment vertical="center"/>
    </xf>
    <xf numFmtId="4" fontId="4" fillId="0" borderId="16" xfId="1" applyNumberFormat="1" applyFont="1" applyBorder="1" applyAlignment="1">
      <alignment vertical="center"/>
    </xf>
    <xf numFmtId="4" fontId="4" fillId="0" borderId="16" xfId="1" applyNumberFormat="1" applyFont="1" applyBorder="1" applyAlignment="1">
      <alignment vertical="center" wrapText="1"/>
    </xf>
    <xf numFmtId="0" fontId="0" fillId="0" borderId="1" xfId="1" applyFont="1" applyBorder="1" applyAlignment="1">
      <alignment vertical="center"/>
    </xf>
    <xf numFmtId="4" fontId="3" fillId="2" borderId="1" xfId="1" applyNumberFormat="1" applyFont="1" applyFill="1" applyBorder="1" applyAlignment="1">
      <alignment vertical="center"/>
    </xf>
    <xf numFmtId="4" fontId="4" fillId="0" borderId="2" xfId="1" applyNumberFormat="1" applyFont="1" applyBorder="1" applyAlignment="1">
      <alignment vertical="center" wrapText="1"/>
    </xf>
    <xf numFmtId="0" fontId="0" fillId="0" borderId="0" xfId="0" applyAlignment="1">
      <alignment horizontal="center" vertical="center"/>
    </xf>
    <xf numFmtId="4" fontId="25" fillId="0" borderId="1" xfId="1" applyNumberFormat="1" applyFont="1" applyBorder="1" applyAlignment="1">
      <alignment horizontal="center" vertical="center"/>
    </xf>
    <xf numFmtId="0" fontId="0" fillId="0" borderId="0" xfId="0"/>
    <xf numFmtId="0" fontId="40" fillId="0" borderId="0" xfId="0" applyFont="1"/>
    <xf numFmtId="1" fontId="0" fillId="0" borderId="0" xfId="0" applyNumberFormat="1" applyBorder="1"/>
    <xf numFmtId="0" fontId="0" fillId="0" borderId="0" xfId="0" applyNumberFormat="1"/>
    <xf numFmtId="0" fontId="0" fillId="0" borderId="5" xfId="0" applyBorder="1" applyAlignment="1">
      <alignment horizontal="center" vertical="center"/>
    </xf>
    <xf numFmtId="0" fontId="4" fillId="0" borderId="13" xfId="1" applyFont="1" applyBorder="1" applyAlignment="1">
      <alignment horizontal="center" vertical="center"/>
    </xf>
    <xf numFmtId="0" fontId="0" fillId="0" borderId="1" xfId="0" applyFont="1" applyBorder="1" applyAlignment="1">
      <alignment horizontal="center" vertical="center" wrapText="1"/>
    </xf>
    <xf numFmtId="0" fontId="0" fillId="9" borderId="1" xfId="0" applyFill="1" applyBorder="1"/>
    <xf numFmtId="4" fontId="16" fillId="0" borderId="1" xfId="2" applyNumberFormat="1" applyBorder="1" applyAlignment="1">
      <alignment vertical="center"/>
    </xf>
    <xf numFmtId="0" fontId="16" fillId="0" borderId="1" xfId="2" applyBorder="1" applyAlignment="1">
      <alignment vertical="center"/>
    </xf>
    <xf numFmtId="0" fontId="16" fillId="0" borderId="0" xfId="2" applyAlignment="1"/>
    <xf numFmtId="0" fontId="16" fillId="6" borderId="19" xfId="2" applyFont="1" applyFill="1" applyBorder="1" applyAlignment="1">
      <alignment horizontal="center"/>
    </xf>
    <xf numFmtId="0" fontId="36" fillId="0" borderId="19" xfId="0" applyFont="1" applyBorder="1" applyAlignment="1">
      <alignment horizontal="center"/>
    </xf>
    <xf numFmtId="4" fontId="0" fillId="4" borderId="18" xfId="0" applyNumberFormat="1" applyFill="1" applyBorder="1" applyAlignment="1">
      <alignment horizontal="center" vertical="center" wrapText="1"/>
    </xf>
    <xf numFmtId="4" fontId="0" fillId="4" borderId="1" xfId="0" applyNumberFormat="1" applyFill="1" applyBorder="1" applyAlignment="1">
      <alignment horizontal="center" vertical="center"/>
    </xf>
    <xf numFmtId="4" fontId="0" fillId="4" borderId="1" xfId="0" applyNumberFormat="1" applyFill="1" applyBorder="1" applyAlignment="1">
      <alignment horizontal="center" vertical="center" wrapText="1"/>
    </xf>
    <xf numFmtId="4" fontId="0" fillId="4" borderId="19" xfId="0" applyNumberFormat="1" applyFill="1" applyBorder="1" applyAlignment="1">
      <alignment horizontal="center" vertical="center" wrapText="1"/>
    </xf>
    <xf numFmtId="4" fontId="0" fillId="4" borderId="19" xfId="0" applyNumberFormat="1" applyFill="1" applyBorder="1" applyAlignment="1">
      <alignment horizontal="center" vertical="center"/>
    </xf>
    <xf numFmtId="4" fontId="0" fillId="4" borderId="61" xfId="0" applyNumberFormat="1" applyFill="1" applyBorder="1" applyAlignment="1">
      <alignment horizontal="center" vertical="center" wrapText="1"/>
    </xf>
    <xf numFmtId="4" fontId="0" fillId="0" borderId="0" xfId="0" applyNumberFormat="1" applyBorder="1"/>
    <xf numFmtId="0" fontId="0" fillId="10" borderId="0" xfId="0" applyFill="1" applyBorder="1" applyAlignment="1">
      <alignment horizontal="center" vertical="center"/>
    </xf>
    <xf numFmtId="4" fontId="0" fillId="10" borderId="0" xfId="0" applyNumberFormat="1" applyFill="1" applyBorder="1" applyAlignment="1">
      <alignment horizontal="center" vertical="center"/>
    </xf>
    <xf numFmtId="4" fontId="0" fillId="12" borderId="19" xfId="0" applyNumberFormat="1" applyFill="1" applyBorder="1" applyAlignment="1">
      <alignment horizontal="center" vertical="center" wrapText="1"/>
    </xf>
    <xf numFmtId="0" fontId="0" fillId="0" borderId="0" xfId="0" applyAlignment="1">
      <alignment horizontal="center" vertical="center" wrapText="1"/>
    </xf>
    <xf numFmtId="4" fontId="0" fillId="0" borderId="0" xfId="0" applyNumberFormat="1" applyAlignment="1">
      <alignment horizontal="center" vertical="center"/>
    </xf>
    <xf numFmtId="2" fontId="0" fillId="0" borderId="0" xfId="0" applyNumberFormat="1" applyAlignment="1">
      <alignment horizontal="center" vertical="center"/>
    </xf>
    <xf numFmtId="0" fontId="0" fillId="12" borderId="19" xfId="0" applyFill="1" applyBorder="1" applyAlignment="1">
      <alignment horizontal="center" vertical="center" wrapText="1"/>
    </xf>
    <xf numFmtId="4" fontId="0" fillId="7" borderId="19" xfId="0" applyNumberFormat="1" applyFill="1" applyBorder="1" applyAlignment="1">
      <alignment horizontal="center" vertical="center"/>
    </xf>
    <xf numFmtId="4" fontId="0" fillId="5" borderId="19" xfId="0" applyNumberFormat="1" applyFill="1" applyBorder="1" applyAlignment="1">
      <alignment horizontal="center" vertical="center" wrapText="1"/>
    </xf>
    <xf numFmtId="2" fontId="0" fillId="10" borderId="0" xfId="0" applyNumberFormat="1" applyFill="1" applyAlignment="1">
      <alignment horizontal="center" vertical="center"/>
    </xf>
    <xf numFmtId="4" fontId="41" fillId="10" borderId="0" xfId="0" applyNumberFormat="1" applyFont="1" applyFill="1" applyBorder="1" applyAlignment="1">
      <alignment horizontal="center" vertical="center"/>
    </xf>
    <xf numFmtId="0" fontId="0" fillId="12" borderId="56" xfId="0" applyFill="1" applyBorder="1" applyAlignment="1">
      <alignment horizontal="center" vertical="center" wrapText="1"/>
    </xf>
    <xf numFmtId="165" fontId="0" fillId="5" borderId="19" xfId="0" applyNumberFormat="1" applyFill="1" applyBorder="1" applyAlignment="1">
      <alignment horizontal="center" vertical="center"/>
    </xf>
    <xf numFmtId="4" fontId="0" fillId="5" borderId="18" xfId="0" applyNumberFormat="1" applyFill="1" applyBorder="1" applyAlignment="1">
      <alignment horizontal="center" vertical="center"/>
    </xf>
    <xf numFmtId="1" fontId="0" fillId="0" borderId="0" xfId="0" applyNumberFormat="1" applyAlignment="1">
      <alignment horizontal="center" vertical="center"/>
    </xf>
    <xf numFmtId="4" fontId="0" fillId="4" borderId="48" xfId="0" applyNumberFormat="1" applyFill="1" applyBorder="1" applyAlignment="1">
      <alignment horizontal="center" vertical="center" wrapText="1"/>
    </xf>
    <xf numFmtId="4" fontId="0" fillId="6" borderId="0" xfId="0" applyNumberFormat="1" applyFill="1" applyBorder="1" applyAlignment="1"/>
    <xf numFmtId="4" fontId="0" fillId="6" borderId="0" xfId="0" applyNumberFormat="1" applyFill="1" applyBorder="1"/>
    <xf numFmtId="0" fontId="0" fillId="0" borderId="50" xfId="0" applyBorder="1"/>
    <xf numFmtId="0" fontId="0" fillId="0" borderId="0" xfId="0" applyAlignment="1">
      <alignment vertical="center" wrapText="1"/>
    </xf>
    <xf numFmtId="2" fontId="0" fillId="7" borderId="19" xfId="0" applyNumberFormat="1" applyFill="1" applyBorder="1" applyAlignment="1">
      <alignment horizontal="center" vertical="center"/>
    </xf>
    <xf numFmtId="4" fontId="36" fillId="5" borderId="1" xfId="0" applyNumberFormat="1" applyFont="1" applyFill="1" applyBorder="1" applyAlignment="1">
      <alignment horizontal="center" vertical="center"/>
    </xf>
    <xf numFmtId="4" fontId="36" fillId="4" borderId="1" xfId="0" applyNumberFormat="1" applyFont="1" applyFill="1" applyBorder="1" applyAlignment="1">
      <alignment horizontal="center" vertical="center"/>
    </xf>
    <xf numFmtId="4" fontId="36" fillId="12" borderId="19" xfId="0" applyNumberFormat="1" applyFont="1" applyFill="1" applyBorder="1" applyAlignment="1">
      <alignment horizontal="center" vertical="center" wrapText="1"/>
    </xf>
    <xf numFmtId="4" fontId="36" fillId="4" borderId="19" xfId="0" applyNumberFormat="1" applyFont="1" applyFill="1" applyBorder="1" applyAlignment="1">
      <alignment horizontal="center" vertical="center"/>
    </xf>
    <xf numFmtId="4" fontId="36" fillId="4" borderId="19" xfId="0" applyNumberFormat="1" applyFont="1" applyFill="1" applyBorder="1" applyAlignment="1">
      <alignment horizontal="center" vertical="center" wrapText="1"/>
    </xf>
    <xf numFmtId="4" fontId="36" fillId="5" borderId="21" xfId="0" applyNumberFormat="1" applyFont="1" applyFill="1" applyBorder="1" applyAlignment="1">
      <alignment horizontal="center" vertical="center" wrapText="1"/>
    </xf>
    <xf numFmtId="4" fontId="36" fillId="5" borderId="61" xfId="0" applyNumberFormat="1" applyFont="1" applyFill="1" applyBorder="1" applyAlignment="1">
      <alignment horizontal="center" vertical="center"/>
    </xf>
    <xf numFmtId="4" fontId="36" fillId="5" borderId="19" xfId="0" applyNumberFormat="1" applyFont="1" applyFill="1" applyBorder="1" applyAlignment="1">
      <alignment horizontal="center" vertical="center"/>
    </xf>
    <xf numFmtId="4" fontId="36" fillId="7" borderId="19" xfId="0" applyNumberFormat="1" applyFont="1" applyFill="1" applyBorder="1" applyAlignment="1">
      <alignment horizontal="center" vertical="center"/>
    </xf>
    <xf numFmtId="4" fontId="36" fillId="5" borderId="19" xfId="0" applyNumberFormat="1" applyFont="1" applyFill="1" applyBorder="1" applyAlignment="1">
      <alignment horizontal="center" vertical="center" wrapText="1"/>
    </xf>
    <xf numFmtId="4" fontId="36" fillId="0" borderId="0" xfId="0" applyNumberFormat="1" applyFont="1" applyBorder="1" applyAlignment="1">
      <alignment horizontal="center" vertical="center"/>
    </xf>
    <xf numFmtId="4" fontId="36" fillId="6" borderId="0" xfId="0" applyNumberFormat="1" applyFont="1" applyFill="1" applyBorder="1" applyAlignment="1">
      <alignment horizontal="center" vertical="center"/>
    </xf>
    <xf numFmtId="2" fontId="0" fillId="9" borderId="1" xfId="0" applyNumberFormat="1" applyFill="1" applyBorder="1"/>
    <xf numFmtId="2" fontId="0" fillId="13" borderId="22" xfId="0" applyNumberFormat="1" applyFill="1" applyBorder="1" applyAlignment="1">
      <alignment horizontal="center" vertical="center"/>
    </xf>
    <xf numFmtId="0" fontId="0" fillId="13" borderId="1" xfId="0" applyFill="1" applyBorder="1" applyAlignment="1">
      <alignment horizontal="center" vertical="center" wrapText="1"/>
    </xf>
    <xf numFmtId="4" fontId="0" fillId="13" borderId="1" xfId="0" applyNumberFormat="1" applyFill="1" applyBorder="1" applyAlignment="1">
      <alignment horizontal="center" vertical="center"/>
    </xf>
    <xf numFmtId="0" fontId="0" fillId="9" borderId="1" xfId="0" applyFill="1" applyBorder="1" applyAlignment="1">
      <alignment horizontal="center" vertical="center"/>
    </xf>
    <xf numFmtId="4" fontId="0" fillId="13" borderId="16" xfId="0" applyNumberFormat="1" applyFill="1" applyBorder="1" applyAlignment="1">
      <alignment horizontal="center" vertical="center"/>
    </xf>
    <xf numFmtId="0" fontId="0" fillId="13" borderId="21" xfId="0" applyFill="1" applyBorder="1" applyAlignment="1">
      <alignment horizontal="center" vertical="center"/>
    </xf>
    <xf numFmtId="0" fontId="0" fillId="6" borderId="46" xfId="0" applyFill="1" applyBorder="1" applyAlignment="1">
      <alignment horizontal="center" vertical="center"/>
    </xf>
    <xf numFmtId="0" fontId="0" fillId="9" borderId="1" xfId="0" applyFill="1" applyBorder="1" applyAlignment="1">
      <alignment horizontal="center" vertical="center" wrapText="1"/>
    </xf>
    <xf numFmtId="0" fontId="0" fillId="12" borderId="57" xfId="0" applyFill="1" applyBorder="1" applyAlignment="1">
      <alignment horizontal="center" vertical="center" wrapText="1"/>
    </xf>
    <xf numFmtId="4" fontId="0" fillId="4" borderId="51" xfId="0" applyNumberFormat="1" applyFill="1" applyBorder="1" applyAlignment="1">
      <alignment horizontal="center" vertical="center" wrapText="1"/>
    </xf>
    <xf numFmtId="4" fontId="0" fillId="4" borderId="2" xfId="0" applyNumberFormat="1" applyFill="1" applyBorder="1" applyAlignment="1">
      <alignment horizontal="center" vertical="center"/>
    </xf>
    <xf numFmtId="4" fontId="0" fillId="3" borderId="1" xfId="0" applyNumberFormat="1" applyFill="1" applyBorder="1" applyAlignment="1">
      <alignment wrapText="1"/>
    </xf>
    <xf numFmtId="4" fontId="0" fillId="5" borderId="1" xfId="0" applyNumberFormat="1" applyFill="1" applyBorder="1" applyAlignment="1">
      <alignment horizontal="center"/>
    </xf>
    <xf numFmtId="4" fontId="0" fillId="5" borderId="1" xfId="0" applyNumberFormat="1" applyFill="1" applyBorder="1" applyAlignment="1">
      <alignment horizontal="center" wrapText="1"/>
    </xf>
    <xf numFmtId="4" fontId="0" fillId="16" borderId="1" xfId="0" applyNumberFormat="1" applyFill="1" applyBorder="1" applyAlignment="1">
      <alignment wrapText="1"/>
    </xf>
    <xf numFmtId="4" fontId="0" fillId="17" borderId="1" xfId="0" applyNumberFormat="1" applyFill="1" applyBorder="1"/>
    <xf numFmtId="4" fontId="0" fillId="17" borderId="1" xfId="0" applyNumberFormat="1" applyFill="1" applyBorder="1" applyAlignment="1">
      <alignment horizontal="center" vertical="center"/>
    </xf>
    <xf numFmtId="4" fontId="0" fillId="17" borderId="1" xfId="0" applyNumberFormat="1" applyFill="1" applyBorder="1" applyAlignment="1">
      <alignment horizontal="center"/>
    </xf>
    <xf numFmtId="4" fontId="0" fillId="17" borderId="1" xfId="0" applyNumberFormat="1" applyFill="1" applyBorder="1" applyAlignment="1">
      <alignment vertical="center"/>
    </xf>
    <xf numFmtId="4" fontId="0" fillId="17" borderId="1" xfId="0" applyNumberFormat="1" applyFill="1" applyBorder="1" applyAlignment="1">
      <alignment wrapText="1"/>
    </xf>
    <xf numFmtId="4" fontId="0" fillId="17" borderId="22" xfId="0" applyNumberFormat="1" applyFill="1" applyBorder="1" applyAlignment="1">
      <alignment horizontal="center" vertical="center"/>
    </xf>
    <xf numFmtId="4" fontId="0" fillId="17" borderId="1" xfId="0" applyNumberFormat="1" applyFill="1" applyBorder="1" applyAlignment="1">
      <alignment horizontal="center" wrapText="1"/>
    </xf>
    <xf numFmtId="0" fontId="0" fillId="0" borderId="0" xfId="0" applyBorder="1" applyAlignment="1">
      <alignment horizontal="center"/>
    </xf>
    <xf numFmtId="0" fontId="0" fillId="9" borderId="1" xfId="0" applyFill="1" applyBorder="1" applyAlignment="1">
      <alignment wrapText="1"/>
    </xf>
    <xf numFmtId="0" fontId="0" fillId="13" borderId="1" xfId="0" applyFill="1" applyBorder="1"/>
    <xf numFmtId="2" fontId="0" fillId="13" borderId="1" xfId="0" applyNumberFormat="1" applyFill="1" applyBorder="1"/>
    <xf numFmtId="2" fontId="0" fillId="9" borderId="1" xfId="0" applyNumberFormat="1" applyFill="1" applyBorder="1" applyAlignment="1">
      <alignment wrapText="1"/>
    </xf>
    <xf numFmtId="0" fontId="0" fillId="13" borderId="1" xfId="0" applyFill="1" applyBorder="1" applyAlignment="1">
      <alignment wrapText="1"/>
    </xf>
    <xf numFmtId="0" fontId="0" fillId="13" borderId="1" xfId="0" applyFill="1" applyBorder="1" applyAlignment="1">
      <alignment horizontal="center"/>
    </xf>
    <xf numFmtId="2" fontId="0" fillId="6" borderId="1" xfId="0" applyNumberFormat="1" applyFill="1" applyBorder="1"/>
    <xf numFmtId="0" fontId="0" fillId="12" borderId="1" xfId="0" applyFill="1" applyBorder="1" applyAlignment="1">
      <alignment horizontal="center" vertical="center" wrapText="1"/>
    </xf>
    <xf numFmtId="4" fontId="0" fillId="5" borderId="1" xfId="0" applyNumberFormat="1" applyFill="1" applyBorder="1" applyAlignment="1">
      <alignment vertical="center"/>
    </xf>
    <xf numFmtId="0" fontId="0" fillId="4" borderId="1" xfId="0" applyFill="1" applyBorder="1"/>
    <xf numFmtId="0" fontId="0" fillId="5" borderId="1" xfId="0" applyFill="1" applyBorder="1"/>
    <xf numFmtId="0" fontId="0" fillId="5" borderId="1" xfId="0" applyFill="1" applyBorder="1" applyAlignment="1">
      <alignment horizontal="center"/>
    </xf>
    <xf numFmtId="0" fontId="0" fillId="5" borderId="1" xfId="0" applyFill="1" applyBorder="1" applyAlignment="1">
      <alignment wrapText="1"/>
    </xf>
    <xf numFmtId="0" fontId="0" fillId="4" borderId="1" xfId="0" applyFill="1" applyBorder="1" applyAlignment="1">
      <alignment wrapText="1"/>
    </xf>
    <xf numFmtId="2" fontId="0" fillId="5" borderId="1" xfId="0" applyNumberFormat="1" applyFill="1" applyBorder="1"/>
    <xf numFmtId="2" fontId="0" fillId="4" borderId="1" xfId="0" applyNumberFormat="1" applyFill="1" applyBorder="1"/>
    <xf numFmtId="2" fontId="0" fillId="5"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5" borderId="1" xfId="0" applyNumberFormat="1" applyFill="1" applyBorder="1" applyAlignment="1">
      <alignment horizontal="center"/>
    </xf>
    <xf numFmtId="4" fontId="0" fillId="4" borderId="1" xfId="0" applyNumberFormat="1" applyFill="1" applyBorder="1" applyAlignment="1">
      <alignment wrapText="1"/>
    </xf>
    <xf numFmtId="4" fontId="0" fillId="4" borderId="23" xfId="0" applyNumberFormat="1" applyFill="1" applyBorder="1" applyAlignment="1">
      <alignment horizontal="center" vertical="center" wrapText="1"/>
    </xf>
    <xf numFmtId="4" fontId="0" fillId="4" borderId="23" xfId="0" applyNumberFormat="1" applyFill="1" applyBorder="1" applyAlignment="1">
      <alignment horizontal="center" vertical="center"/>
    </xf>
    <xf numFmtId="4" fontId="0" fillId="0" borderId="1" xfId="0" applyNumberFormat="1" applyBorder="1"/>
    <xf numFmtId="4" fontId="0" fillId="0" borderId="1" xfId="0" applyNumberFormat="1" applyBorder="1" applyAlignment="1">
      <alignment horizontal="center" vertical="center"/>
    </xf>
    <xf numFmtId="4" fontId="4" fillId="0" borderId="1" xfId="1" applyNumberFormat="1" applyFont="1" applyBorder="1" applyAlignment="1">
      <alignment horizontal="center" vertical="center" wrapText="1"/>
    </xf>
    <xf numFmtId="4" fontId="18" fillId="0" borderId="1" xfId="1" applyNumberFormat="1" applyFont="1" applyBorder="1" applyAlignment="1">
      <alignment horizontal="center" vertical="center"/>
    </xf>
    <xf numFmtId="4" fontId="0" fillId="0" borderId="5" xfId="0" applyNumberFormat="1" applyBorder="1" applyAlignment="1">
      <alignment horizontal="center" vertical="center"/>
    </xf>
    <xf numFmtId="0" fontId="7" fillId="6" borderId="1" xfId="1" applyFont="1" applyFill="1" applyBorder="1" applyAlignment="1">
      <alignment vertical="center"/>
    </xf>
    <xf numFmtId="0" fontId="7" fillId="6" borderId="1" xfId="1" applyFont="1" applyFill="1" applyBorder="1" applyAlignment="1">
      <alignment horizontal="center" vertical="center"/>
    </xf>
    <xf numFmtId="0" fontId="0" fillId="6" borderId="0" xfId="0" applyFont="1" applyFill="1"/>
    <xf numFmtId="11" fontId="7" fillId="6" borderId="1" xfId="1" applyNumberFormat="1" applyFont="1" applyFill="1" applyBorder="1" applyAlignment="1">
      <alignment horizontal="center" vertical="center"/>
    </xf>
    <xf numFmtId="11" fontId="4" fillId="0" borderId="2" xfId="1" applyNumberFormat="1" applyFont="1" applyBorder="1" applyAlignment="1">
      <alignment horizontal="center" vertical="center" wrapText="1"/>
    </xf>
    <xf numFmtId="0" fontId="36" fillId="0" borderId="0" xfId="0" applyFont="1" applyBorder="1" applyAlignment="1">
      <alignment horizontal="center"/>
    </xf>
    <xf numFmtId="0" fontId="8" fillId="0" borderId="56" xfId="1" applyFont="1" applyBorder="1" applyAlignment="1"/>
    <xf numFmtId="0" fontId="4" fillId="0" borderId="56" xfId="1" applyFont="1" applyBorder="1" applyAlignment="1">
      <alignment horizontal="center" vertical="center"/>
    </xf>
    <xf numFmtId="0" fontId="2" fillId="0" borderId="56" xfId="1" applyFont="1" applyBorder="1" applyAlignment="1">
      <alignment horizontal="center"/>
    </xf>
    <xf numFmtId="0" fontId="0" fillId="0" borderId="56" xfId="0" applyBorder="1" applyAlignment="1">
      <alignment horizontal="center"/>
    </xf>
    <xf numFmtId="164" fontId="4" fillId="10" borderId="56" xfId="1" applyNumberFormat="1" applyFont="1" applyFill="1" applyBorder="1" applyAlignment="1">
      <alignment horizontal="center" vertical="center"/>
    </xf>
    <xf numFmtId="164" fontId="4" fillId="10" borderId="19" xfId="1" applyNumberFormat="1" applyFont="1" applyFill="1" applyBorder="1" applyAlignment="1">
      <alignment horizontal="center" vertical="center"/>
    </xf>
    <xf numFmtId="0" fontId="7" fillId="0" borderId="0" xfId="1" applyFont="1" applyBorder="1" applyAlignment="1">
      <alignment horizontal="left" vertical="center"/>
    </xf>
    <xf numFmtId="0" fontId="4" fillId="0" borderId="0" xfId="1" applyNumberFormat="1" applyFont="1" applyBorder="1" applyAlignment="1">
      <alignment vertical="center"/>
    </xf>
    <xf numFmtId="9" fontId="0" fillId="0" borderId="0" xfId="0" applyNumberFormat="1" applyFont="1" applyAlignment="1">
      <alignment horizontal="center" vertical="center"/>
    </xf>
    <xf numFmtId="10" fontId="0" fillId="0" borderId="5" xfId="1" applyNumberFormat="1" applyFont="1" applyBorder="1" applyAlignment="1">
      <alignment horizontal="center" vertical="center"/>
    </xf>
    <xf numFmtId="9" fontId="0" fillId="0" borderId="27" xfId="0" applyNumberFormat="1" applyFont="1" applyBorder="1" applyAlignment="1">
      <alignment horizontal="center"/>
    </xf>
    <xf numFmtId="0" fontId="0" fillId="0" borderId="56" xfId="0" applyFont="1" applyBorder="1" applyAlignment="1">
      <alignment horizontal="center"/>
    </xf>
    <xf numFmtId="0" fontId="8" fillId="0" borderId="56" xfId="1" applyFont="1" applyBorder="1" applyAlignment="1">
      <alignment horizontal="center"/>
    </xf>
    <xf numFmtId="0" fontId="7" fillId="0" borderId="0" xfId="1" applyFont="1" applyBorder="1" applyAlignment="1">
      <alignment horizontal="center" vertical="center"/>
    </xf>
    <xf numFmtId="4" fontId="0" fillId="0" borderId="0" xfId="0" applyNumberFormat="1" applyAlignment="1">
      <alignment vertical="center" wrapText="1"/>
    </xf>
    <xf numFmtId="0" fontId="36" fillId="0" borderId="0" xfId="0" applyFont="1"/>
    <xf numFmtId="2" fontId="0" fillId="13" borderId="1" xfId="0" applyNumberFormat="1" applyFill="1" applyBorder="1" applyAlignment="1">
      <alignment horizontal="center"/>
    </xf>
    <xf numFmtId="2" fontId="0" fillId="9" borderId="1" xfId="0" applyNumberFormat="1" applyFill="1" applyBorder="1" applyAlignment="1">
      <alignment horizontal="center" wrapText="1"/>
    </xf>
    <xf numFmtId="2" fontId="4" fillId="0" borderId="2" xfId="1" applyNumberFormat="1" applyFont="1" applyBorder="1" applyAlignment="1">
      <alignment horizontal="center" vertical="center"/>
    </xf>
    <xf numFmtId="2" fontId="4" fillId="0" borderId="1" xfId="1" applyNumberFormat="1" applyFont="1" applyBorder="1" applyAlignment="1">
      <alignment horizontal="center" vertical="center"/>
    </xf>
    <xf numFmtId="0" fontId="0" fillId="0" borderId="0" xfId="0" applyAlignment="1">
      <alignment horizontal="left" vertical="top" wrapText="1"/>
    </xf>
    <xf numFmtId="0" fontId="45" fillId="0" borderId="1" xfId="0" applyFont="1" applyBorder="1" applyAlignment="1">
      <alignment horizontal="center" wrapText="1"/>
    </xf>
    <xf numFmtId="0" fontId="0" fillId="0" borderId="0" xfId="0" applyAlignment="1">
      <alignment vertical="top" wrapText="1"/>
    </xf>
    <xf numFmtId="0" fontId="45" fillId="0" borderId="0" xfId="0" applyFont="1" applyBorder="1" applyAlignment="1">
      <alignment wrapText="1"/>
    </xf>
    <xf numFmtId="4" fontId="45" fillId="6" borderId="1" xfId="0" applyNumberFormat="1" applyFont="1" applyFill="1" applyBorder="1" applyAlignment="1">
      <alignment horizontal="center" vertical="center" wrapText="1"/>
    </xf>
    <xf numFmtId="2" fontId="44" fillId="0" borderId="1" xfId="0" applyNumberFormat="1" applyFont="1" applyBorder="1" applyAlignment="1">
      <alignment horizontal="center"/>
    </xf>
    <xf numFmtId="2" fontId="46" fillId="0" borderId="1" xfId="0" applyNumberFormat="1" applyFont="1" applyBorder="1" applyAlignment="1">
      <alignment horizontal="center"/>
    </xf>
    <xf numFmtId="0" fontId="0" fillId="19" borderId="1" xfId="0" applyFill="1" applyBorder="1" applyAlignment="1">
      <alignment horizontal="center" vertical="center"/>
    </xf>
    <xf numFmtId="2" fontId="0" fillId="19" borderId="1" xfId="0" applyNumberFormat="1" applyFill="1" applyBorder="1" applyAlignment="1">
      <alignment horizontal="center" vertical="center"/>
    </xf>
    <xf numFmtId="0" fontId="0" fillId="0" borderId="2" xfId="0" applyFont="1" applyBorder="1" applyAlignment="1">
      <alignment horizontal="center" vertical="center"/>
    </xf>
    <xf numFmtId="4" fontId="7" fillId="0" borderId="2" xfId="1" applyNumberFormat="1" applyFont="1" applyBorder="1" applyAlignment="1">
      <alignment horizontal="center" vertical="center"/>
    </xf>
    <xf numFmtId="0" fontId="7" fillId="0" borderId="2" xfId="1" applyFont="1" applyBorder="1" applyAlignment="1">
      <alignment vertical="center" wrapText="1"/>
    </xf>
    <xf numFmtId="0" fontId="3" fillId="0" borderId="1" xfId="1" applyFont="1" applyFill="1" applyBorder="1" applyAlignment="1">
      <alignment vertical="center"/>
    </xf>
    <xf numFmtId="0" fontId="3" fillId="0" borderId="18" xfId="1" applyFont="1" applyFill="1" applyBorder="1" applyAlignment="1">
      <alignment horizontal="center" vertical="center"/>
    </xf>
    <xf numFmtId="9" fontId="0" fillId="0" borderId="1" xfId="0" applyNumberFormat="1" applyFont="1" applyBorder="1" applyAlignment="1">
      <alignment horizontal="center"/>
    </xf>
    <xf numFmtId="0" fontId="2" fillId="10" borderId="19" xfId="1" applyFont="1" applyFill="1" applyBorder="1" applyAlignment="1">
      <alignment horizontal="center"/>
    </xf>
    <xf numFmtId="0" fontId="42" fillId="6" borderId="0" xfId="0" applyFont="1" applyFill="1" applyBorder="1"/>
    <xf numFmtId="0" fontId="0" fillId="6" borderId="0" xfId="0" applyFill="1" applyBorder="1"/>
    <xf numFmtId="0" fontId="0" fillId="0" borderId="0" xfId="0" applyFill="1" applyBorder="1"/>
    <xf numFmtId="2" fontId="0" fillId="0" borderId="0" xfId="0" applyNumberFormat="1" applyBorder="1"/>
    <xf numFmtId="2" fontId="0" fillId="0" borderId="0" xfId="0" applyNumberFormat="1"/>
    <xf numFmtId="0" fontId="0" fillId="0" borderId="1" xfId="0" applyBorder="1" applyAlignment="1"/>
    <xf numFmtId="0" fontId="0" fillId="0" borderId="1" xfId="0" applyBorder="1" applyAlignment="1">
      <alignment wrapText="1"/>
    </xf>
    <xf numFmtId="0" fontId="0" fillId="0" borderId="1" xfId="0" applyFill="1" applyBorder="1" applyAlignment="1">
      <alignment wrapText="1"/>
    </xf>
    <xf numFmtId="2" fontId="0" fillId="0" borderId="1" xfId="0" applyNumberFormat="1" applyBorder="1" applyAlignment="1">
      <alignment wrapText="1"/>
    </xf>
    <xf numFmtId="171" fontId="0" fillId="5" borderId="1" xfId="0" applyNumberFormat="1" applyFill="1" applyBorder="1" applyAlignment="1">
      <alignment horizontal="center" vertical="center"/>
    </xf>
    <xf numFmtId="4" fontId="0" fillId="0" borderId="0" xfId="0" applyNumberFormat="1" applyAlignment="1">
      <alignment horizontal="center"/>
    </xf>
    <xf numFmtId="172" fontId="0" fillId="5" borderId="19" xfId="0" applyNumberFormat="1" applyFill="1" applyBorder="1" applyAlignment="1">
      <alignment horizontal="center" vertical="center"/>
    </xf>
    <xf numFmtId="0" fontId="0" fillId="0" borderId="0" xfId="0" applyFill="1" applyBorder="1" applyAlignment="1">
      <alignment horizontal="center" vertical="center"/>
    </xf>
    <xf numFmtId="4" fontId="0" fillId="0" borderId="0" xfId="0" applyNumberFormat="1" applyFill="1" applyBorder="1" applyAlignment="1">
      <alignment horizontal="center" vertical="center"/>
    </xf>
    <xf numFmtId="2" fontId="0" fillId="0" borderId="19" xfId="0" applyNumberFormat="1" applyBorder="1" applyAlignment="1">
      <alignment horizontal="center"/>
    </xf>
    <xf numFmtId="2" fontId="7" fillId="0" borderId="19" xfId="1" applyNumberFormat="1" applyFont="1" applyBorder="1" applyAlignment="1">
      <alignment horizontal="center" vertical="center"/>
    </xf>
    <xf numFmtId="2" fontId="8" fillId="0" borderId="19" xfId="1" applyNumberFormat="1" applyFont="1" applyBorder="1" applyAlignment="1">
      <alignment horizontal="center"/>
    </xf>
    <xf numFmtId="2" fontId="0" fillId="0" borderId="19" xfId="0" applyNumberFormat="1" applyFont="1" applyBorder="1" applyAlignment="1">
      <alignment horizontal="center"/>
    </xf>
    <xf numFmtId="2" fontId="36" fillId="0" borderId="19" xfId="0" applyNumberFormat="1" applyFont="1" applyBorder="1" applyAlignment="1">
      <alignment horizontal="center"/>
    </xf>
    <xf numFmtId="2" fontId="36" fillId="10" borderId="19" xfId="0" applyNumberFormat="1" applyFont="1" applyFill="1" applyBorder="1" applyAlignment="1">
      <alignment horizontal="center"/>
    </xf>
    <xf numFmtId="2" fontId="2" fillId="0" borderId="56" xfId="1" applyNumberFormat="1" applyFont="1" applyBorder="1" applyAlignment="1">
      <alignment horizontal="center"/>
    </xf>
    <xf numFmtId="2" fontId="2" fillId="0" borderId="19" xfId="1" applyNumberFormat="1" applyFont="1" applyBorder="1" applyAlignment="1">
      <alignment horizontal="center"/>
    </xf>
    <xf numFmtId="4" fontId="0" fillId="21" borderId="1" xfId="0" applyNumberFormat="1" applyFill="1" applyBorder="1" applyAlignment="1">
      <alignment vertical="center"/>
    </xf>
    <xf numFmtId="4" fontId="0" fillId="22" borderId="1" xfId="0" applyNumberFormat="1" applyFill="1" applyBorder="1" applyAlignment="1">
      <alignment vertical="center"/>
    </xf>
    <xf numFmtId="4" fontId="0" fillId="22" borderId="37" xfId="0" applyNumberFormat="1" applyFill="1" applyBorder="1" applyAlignment="1">
      <alignment vertical="center"/>
    </xf>
    <xf numFmtId="4" fontId="0" fillId="22" borderId="0" xfId="0" applyNumberFormat="1" applyFill="1"/>
    <xf numFmtId="0" fontId="0" fillId="22" borderId="1" xfId="0" applyFill="1" applyBorder="1"/>
    <xf numFmtId="4" fontId="0" fillId="6" borderId="0" xfId="0" applyNumberFormat="1" applyFill="1" applyBorder="1" applyAlignment="1">
      <alignment vertical="center"/>
    </xf>
    <xf numFmtId="173" fontId="0" fillId="6" borderId="0" xfId="0" applyNumberFormat="1" applyFill="1" applyBorder="1" applyAlignment="1">
      <alignment vertical="center"/>
    </xf>
    <xf numFmtId="4" fontId="0" fillId="22" borderId="1" xfId="0" applyNumberFormat="1" applyFill="1" applyBorder="1"/>
    <xf numFmtId="4" fontId="36" fillId="12" borderId="23" xfId="0" applyNumberFormat="1" applyFont="1" applyFill="1" applyBorder="1" applyAlignment="1">
      <alignment horizontal="center" vertical="center" wrapText="1"/>
    </xf>
    <xf numFmtId="4" fontId="36" fillId="4" borderId="23" xfId="0" applyNumberFormat="1" applyFont="1" applyFill="1" applyBorder="1" applyAlignment="1">
      <alignment horizontal="center" vertical="center"/>
    </xf>
    <xf numFmtId="4" fontId="36" fillId="4" borderId="57" xfId="0" applyNumberFormat="1" applyFont="1" applyFill="1" applyBorder="1" applyAlignment="1">
      <alignment horizontal="center" vertical="center" wrapText="1"/>
    </xf>
    <xf numFmtId="4" fontId="36" fillId="4" borderId="23" xfId="0" applyNumberFormat="1" applyFont="1" applyFill="1" applyBorder="1" applyAlignment="1">
      <alignment horizontal="center" vertical="center" wrapText="1"/>
    </xf>
    <xf numFmtId="0" fontId="0" fillId="0" borderId="0" xfId="0" applyAlignment="1"/>
    <xf numFmtId="4" fontId="0" fillId="3" borderId="19" xfId="0" applyNumberFormat="1" applyFill="1" applyBorder="1" applyAlignment="1">
      <alignment horizontal="center" vertical="center"/>
    </xf>
    <xf numFmtId="4" fontId="0" fillId="5" borderId="19" xfId="0" applyNumberFormat="1" applyFill="1" applyBorder="1" applyAlignment="1">
      <alignment horizontal="center" vertical="center"/>
    </xf>
    <xf numFmtId="4" fontId="36" fillId="5" borderId="23" xfId="0" applyNumberFormat="1" applyFont="1" applyFill="1" applyBorder="1" applyAlignment="1">
      <alignment horizontal="center" vertical="center"/>
    </xf>
    <xf numFmtId="0" fontId="44" fillId="0" borderId="1" xfId="0" applyFont="1" applyBorder="1" applyAlignment="1">
      <alignment horizontal="center" wrapText="1"/>
    </xf>
    <xf numFmtId="0" fontId="44" fillId="0" borderId="1" xfId="0" applyFont="1" applyBorder="1" applyAlignment="1">
      <alignment horizontal="center" vertical="center" wrapText="1"/>
    </xf>
    <xf numFmtId="0" fontId="44" fillId="0" borderId="1" xfId="0" applyFont="1" applyBorder="1" applyAlignment="1">
      <alignment horizontal="center"/>
    </xf>
    <xf numFmtId="4" fontId="0" fillId="5" borderId="1" xfId="0" applyNumberFormat="1" applyFill="1" applyBorder="1" applyAlignment="1">
      <alignment horizontal="center" vertical="center"/>
    </xf>
    <xf numFmtId="0" fontId="0" fillId="7" borderId="1" xfId="0" applyFill="1" applyBorder="1" applyAlignment="1">
      <alignment horizontal="center" vertical="center"/>
    </xf>
    <xf numFmtId="0" fontId="0" fillId="7" borderId="19" xfId="0" applyFill="1" applyBorder="1" applyAlignment="1">
      <alignment horizontal="center" vertical="center"/>
    </xf>
    <xf numFmtId="0" fontId="0" fillId="13" borderId="22" xfId="0" applyFill="1" applyBorder="1" applyAlignment="1">
      <alignment horizontal="center" vertical="center"/>
    </xf>
    <xf numFmtId="0" fontId="0" fillId="0" borderId="0" xfId="0" applyAlignment="1">
      <alignment horizontal="center"/>
    </xf>
    <xf numFmtId="0" fontId="0" fillId="0" borderId="0" xfId="0" applyAlignment="1">
      <alignment horizontal="center" wrapText="1"/>
    </xf>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4" fillId="0" borderId="0" xfId="1" applyFont="1" applyAlignment="1">
      <alignment vertical="top"/>
    </xf>
    <xf numFmtId="0" fontId="3" fillId="2" borderId="1" xfId="1" applyFont="1" applyFill="1" applyBorder="1" applyAlignment="1">
      <alignment horizontal="center" vertical="center"/>
    </xf>
    <xf numFmtId="4" fontId="3" fillId="2" borderId="1" xfId="1" applyNumberFormat="1" applyFont="1" applyFill="1" applyBorder="1" applyAlignment="1">
      <alignment horizontal="center" vertical="center"/>
    </xf>
    <xf numFmtId="4" fontId="4" fillId="0" borderId="0" xfId="1" applyNumberFormat="1" applyFont="1" applyBorder="1" applyAlignment="1">
      <alignment horizontal="center" vertical="center"/>
    </xf>
    <xf numFmtId="4" fontId="4" fillId="0" borderId="1" xfId="1" applyNumberFormat="1" applyFont="1" applyBorder="1" applyAlignment="1">
      <alignment horizontal="center" vertical="center"/>
    </xf>
    <xf numFmtId="2" fontId="0" fillId="13" borderId="1" xfId="0" applyNumberFormat="1" applyFill="1" applyBorder="1" applyAlignment="1">
      <alignment horizontal="center" vertical="center"/>
    </xf>
    <xf numFmtId="0" fontId="0" fillId="13" borderId="1" xfId="0" applyFill="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5" fillId="0" borderId="0" xfId="1" applyFont="1" applyAlignment="1">
      <alignment vertical="center" wrapText="1"/>
    </xf>
    <xf numFmtId="0" fontId="5" fillId="0" borderId="0" xfId="1" applyFont="1" applyAlignment="1">
      <alignment vertical="center"/>
    </xf>
    <xf numFmtId="0" fontId="3" fillId="0" borderId="0" xfId="1" applyFont="1" applyAlignment="1">
      <alignment vertical="top"/>
    </xf>
    <xf numFmtId="0" fontId="1" fillId="0" borderId="24" xfId="1" applyFont="1" applyBorder="1" applyAlignment="1">
      <alignment vertical="center"/>
    </xf>
    <xf numFmtId="164" fontId="1" fillId="0" borderId="19" xfId="1" applyNumberFormat="1" applyFont="1" applyBorder="1" applyAlignment="1">
      <alignment horizontal="center" vertical="center"/>
    </xf>
    <xf numFmtId="0" fontId="1" fillId="0" borderId="19" xfId="1" applyFont="1" applyBorder="1" applyAlignment="1">
      <alignment horizontal="center" vertical="center"/>
    </xf>
    <xf numFmtId="166" fontId="1" fillId="0" borderId="19" xfId="1" applyNumberFormat="1" applyFont="1" applyBorder="1" applyAlignment="1">
      <alignment horizontal="center" vertical="center"/>
    </xf>
    <xf numFmtId="0" fontId="1" fillId="0" borderId="29" xfId="1" applyFont="1" applyBorder="1" applyAlignment="1">
      <alignment vertical="center"/>
    </xf>
    <xf numFmtId="0" fontId="1" fillId="0" borderId="28" xfId="1" applyFont="1" applyBorder="1" applyAlignment="1">
      <alignment horizontal="center" vertical="center"/>
    </xf>
    <xf numFmtId="1" fontId="1" fillId="0" borderId="27" xfId="1" applyNumberFormat="1" applyFont="1" applyBorder="1" applyAlignment="1">
      <alignment horizontal="center" vertical="center"/>
    </xf>
    <xf numFmtId="0" fontId="1" fillId="0" borderId="27" xfId="1" applyFont="1" applyBorder="1" applyAlignment="1">
      <alignment horizontal="center" vertical="center"/>
    </xf>
    <xf numFmtId="0" fontId="1" fillId="0" borderId="6" xfId="1" applyFont="1" applyBorder="1" applyAlignment="1">
      <alignment vertical="center"/>
    </xf>
    <xf numFmtId="0" fontId="1" fillId="0" borderId="14" xfId="1" applyFont="1" applyBorder="1" applyAlignment="1">
      <alignment vertical="center"/>
    </xf>
    <xf numFmtId="4" fontId="1" fillId="0" borderId="1" xfId="1" applyNumberFormat="1" applyFont="1" applyBorder="1" applyAlignment="1">
      <alignment vertical="center"/>
    </xf>
    <xf numFmtId="4" fontId="1" fillId="0" borderId="1" xfId="1" applyNumberFormat="1" applyFont="1" applyBorder="1" applyAlignment="1">
      <alignment horizontal="center" vertical="center"/>
    </xf>
    <xf numFmtId="4" fontId="1" fillId="0" borderId="1" xfId="1" applyNumberFormat="1" applyFont="1" applyBorder="1" applyAlignment="1">
      <alignment vertical="center" wrapText="1"/>
    </xf>
    <xf numFmtId="4" fontId="1" fillId="0" borderId="1" xfId="1" applyNumberFormat="1" applyFont="1" applyBorder="1" applyAlignment="1">
      <alignment horizontal="left" vertical="center" wrapText="1"/>
    </xf>
    <xf numFmtId="4" fontId="1" fillId="0" borderId="1" xfId="1" applyNumberFormat="1" applyFont="1" applyBorder="1" applyAlignment="1">
      <alignment horizontal="center"/>
    </xf>
    <xf numFmtId="0" fontId="1" fillId="0" borderId="1" xfId="0" applyFont="1" applyBorder="1" applyAlignment="1">
      <alignment horizontal="center" vertical="center"/>
    </xf>
    <xf numFmtId="0" fontId="1" fillId="0" borderId="1" xfId="1" applyFont="1" applyBorder="1" applyAlignment="1">
      <alignment vertical="center"/>
    </xf>
    <xf numFmtId="4" fontId="1" fillId="0" borderId="1" xfId="1" applyNumberFormat="1" applyFont="1" applyFill="1" applyBorder="1" applyAlignment="1">
      <alignment horizontal="center" vertical="center"/>
    </xf>
    <xf numFmtId="4" fontId="1" fillId="0" borderId="0" xfId="1" applyNumberFormat="1" applyFont="1" applyBorder="1" applyAlignment="1">
      <alignment vertical="center" wrapText="1"/>
    </xf>
    <xf numFmtId="4" fontId="1" fillId="0" borderId="0" xfId="1" applyNumberFormat="1" applyFont="1" applyBorder="1" applyAlignment="1">
      <alignment horizontal="center" vertical="center"/>
    </xf>
    <xf numFmtId="4" fontId="1" fillId="0" borderId="0" xfId="1" applyNumberFormat="1" applyFont="1" applyBorder="1" applyAlignment="1">
      <alignment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1" fillId="0" borderId="15" xfId="1" applyFont="1" applyBorder="1" applyAlignment="1">
      <alignment vertical="center"/>
    </xf>
    <xf numFmtId="0" fontId="1" fillId="0" borderId="1" xfId="0" applyFont="1" applyBorder="1" applyAlignment="1">
      <alignment horizontal="center"/>
    </xf>
    <xf numFmtId="0" fontId="1" fillId="0" borderId="2" xfId="0" applyFont="1" applyBorder="1" applyAlignment="1">
      <alignment horizontal="center"/>
    </xf>
    <xf numFmtId="0" fontId="1" fillId="0" borderId="1" xfId="1" applyFont="1" applyBorder="1" applyAlignment="1">
      <alignment horizontal="center" vertical="center"/>
    </xf>
    <xf numFmtId="0" fontId="1" fillId="0" borderId="22" xfId="1" applyFont="1" applyBorder="1" applyAlignment="1">
      <alignment horizontal="center" vertical="center"/>
    </xf>
    <xf numFmtId="0" fontId="1" fillId="0" borderId="31" xfId="1" applyFont="1" applyBorder="1" applyAlignment="1">
      <alignment vertical="center"/>
    </xf>
    <xf numFmtId="1" fontId="1" fillId="0" borderId="1" xfId="0" applyNumberFormat="1" applyFont="1" applyBorder="1" applyAlignment="1">
      <alignment horizontal="center" vertical="center"/>
    </xf>
    <xf numFmtId="0" fontId="1" fillId="0" borderId="12" xfId="0" applyFont="1" applyBorder="1" applyAlignment="1">
      <alignment horizontal="center" vertical="center"/>
    </xf>
    <xf numFmtId="0" fontId="1" fillId="0" borderId="1" xfId="1" applyFont="1" applyBorder="1" applyAlignment="1">
      <alignment vertical="center" wrapText="1"/>
    </xf>
    <xf numFmtId="0" fontId="1" fillId="0" borderId="51" xfId="1" applyFont="1" applyBorder="1" applyAlignment="1">
      <alignment vertical="center" wrapText="1"/>
    </xf>
    <xf numFmtId="2" fontId="1" fillId="0" borderId="1" xfId="1" applyNumberFormat="1" applyFont="1" applyBorder="1" applyAlignment="1">
      <alignment horizontal="center" vertical="center"/>
    </xf>
    <xf numFmtId="0" fontId="1" fillId="0" borderId="14" xfId="1" applyFont="1" applyBorder="1" applyAlignment="1">
      <alignment vertical="center" wrapText="1"/>
    </xf>
    <xf numFmtId="2" fontId="1" fillId="0" borderId="1" xfId="1" applyNumberFormat="1" applyFont="1" applyBorder="1" applyAlignment="1">
      <alignment horizontal="center"/>
    </xf>
    <xf numFmtId="2" fontId="1" fillId="0" borderId="37" xfId="1" applyNumberFormat="1" applyFont="1" applyFill="1" applyBorder="1" applyAlignment="1">
      <alignment horizontal="center"/>
    </xf>
    <xf numFmtId="0" fontId="1" fillId="0" borderId="1" xfId="1" applyNumberFormat="1" applyFont="1" applyBorder="1" applyAlignment="1">
      <alignment horizontal="center" vertical="center"/>
    </xf>
    <xf numFmtId="0" fontId="1" fillId="0" borderId="37" xfId="0" applyFont="1" applyFill="1" applyBorder="1" applyAlignment="1">
      <alignment horizontal="center" vertical="center"/>
    </xf>
    <xf numFmtId="0" fontId="1" fillId="0" borderId="0" xfId="1" applyFont="1" applyBorder="1" applyAlignment="1">
      <alignment vertical="center"/>
    </xf>
    <xf numFmtId="0" fontId="1" fillId="0" borderId="0" xfId="1" applyFont="1" applyBorder="1" applyAlignment="1">
      <alignment horizontal="center" vertical="center"/>
    </xf>
    <xf numFmtId="1" fontId="1" fillId="0" borderId="0" xfId="1" applyNumberFormat="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1" fontId="1" fillId="0" borderId="2" xfId="1" applyNumberFormat="1" applyFont="1" applyBorder="1" applyAlignment="1">
      <alignment horizontal="center" vertical="center"/>
    </xf>
    <xf numFmtId="0" fontId="1" fillId="0" borderId="2" xfId="1" applyFont="1" applyBorder="1" applyAlignment="1">
      <alignment vertical="center"/>
    </xf>
    <xf numFmtId="0" fontId="1" fillId="0" borderId="66" xfId="1" applyFont="1" applyBorder="1" applyAlignment="1">
      <alignment horizontal="center" vertical="center"/>
    </xf>
    <xf numFmtId="0" fontId="1" fillId="0" borderId="1" xfId="1" applyFont="1" applyBorder="1" applyAlignment="1">
      <alignment horizontal="center"/>
    </xf>
    <xf numFmtId="0" fontId="1" fillId="0" borderId="15" xfId="1" applyFont="1" applyBorder="1" applyAlignment="1">
      <alignment horizontal="center" vertical="center"/>
    </xf>
    <xf numFmtId="1" fontId="1" fillId="0" borderId="1" xfId="1" applyNumberFormat="1" applyFont="1" applyBorder="1" applyAlignment="1">
      <alignment horizontal="center" vertical="center"/>
    </xf>
    <xf numFmtId="0" fontId="1" fillId="0" borderId="14" xfId="1" applyFont="1" applyFill="1" applyBorder="1" applyAlignment="1">
      <alignment vertical="center"/>
    </xf>
    <xf numFmtId="0" fontId="1" fillId="0" borderId="6" xfId="1" applyFont="1" applyBorder="1" applyAlignment="1">
      <alignment horizontal="center" vertical="center"/>
    </xf>
    <xf numFmtId="0" fontId="1" fillId="0" borderId="4" xfId="1" applyFont="1" applyBorder="1" applyAlignment="1">
      <alignment vertical="center"/>
    </xf>
    <xf numFmtId="0" fontId="1" fillId="0" borderId="5" xfId="1" applyFont="1" applyBorder="1" applyAlignment="1">
      <alignment horizontal="center" vertical="center"/>
    </xf>
    <xf numFmtId="1" fontId="1" fillId="0" borderId="5" xfId="1" applyNumberFormat="1" applyFont="1" applyBorder="1" applyAlignment="1">
      <alignment horizontal="center" vertical="center"/>
    </xf>
    <xf numFmtId="0" fontId="1" fillId="0" borderId="5" xfId="1" applyFont="1" applyBorder="1" applyAlignment="1">
      <alignment vertical="center"/>
    </xf>
    <xf numFmtId="0" fontId="1" fillId="0" borderId="65" xfId="1" applyFont="1" applyBorder="1" applyAlignment="1">
      <alignment vertical="center"/>
    </xf>
    <xf numFmtId="0" fontId="0" fillId="0" borderId="0" xfId="0" applyAlignment="1"/>
    <xf numFmtId="4" fontId="0" fillId="20" borderId="16" xfId="0" applyNumberFormat="1" applyFill="1" applyBorder="1" applyAlignment="1">
      <alignment horizontal="center" vertical="center"/>
    </xf>
    <xf numFmtId="4" fontId="0" fillId="20" borderId="17" xfId="0" applyNumberFormat="1" applyFill="1" applyBorder="1" applyAlignment="1">
      <alignment horizontal="center" vertical="center"/>
    </xf>
    <xf numFmtId="4" fontId="0" fillId="20" borderId="18" xfId="0" applyNumberFormat="1" applyFill="1" applyBorder="1" applyAlignment="1">
      <alignment horizontal="center" vertical="center"/>
    </xf>
    <xf numFmtId="0" fontId="44" fillId="0" borderId="19" xfId="0" applyFont="1" applyBorder="1" applyAlignment="1">
      <alignment horizontal="center" wrapText="1"/>
    </xf>
    <xf numFmtId="4" fontId="0" fillId="3" borderId="19" xfId="0" applyNumberFormat="1" applyFill="1" applyBorder="1" applyAlignment="1">
      <alignment horizontal="center" vertical="center"/>
    </xf>
    <xf numFmtId="4" fontId="36" fillId="7" borderId="56" xfId="0" applyNumberFormat="1" applyFont="1" applyFill="1" applyBorder="1" applyAlignment="1">
      <alignment horizontal="center" vertical="center"/>
    </xf>
    <xf numFmtId="4" fontId="36" fillId="7" borderId="23" xfId="0" applyNumberFormat="1" applyFont="1" applyFill="1" applyBorder="1" applyAlignment="1">
      <alignment horizontal="center" vertical="center"/>
    </xf>
    <xf numFmtId="4" fontId="0" fillId="7" borderId="56" xfId="0" applyNumberFormat="1" applyFill="1" applyBorder="1" applyAlignment="1">
      <alignment horizontal="center" vertical="center"/>
    </xf>
    <xf numFmtId="4" fontId="0" fillId="7" borderId="57" xfId="0" applyNumberFormat="1" applyFill="1" applyBorder="1" applyAlignment="1">
      <alignment horizontal="center" vertical="center"/>
    </xf>
    <xf numFmtId="4" fontId="0" fillId="7" borderId="23" xfId="0" applyNumberFormat="1" applyFill="1" applyBorder="1" applyAlignment="1">
      <alignment horizontal="center" vertical="center"/>
    </xf>
    <xf numFmtId="4" fontId="0" fillId="5" borderId="58" xfId="0" applyNumberFormat="1" applyFill="1" applyBorder="1" applyAlignment="1">
      <alignment horizontal="center" vertical="center"/>
    </xf>
    <xf numFmtId="4" fontId="0" fillId="5" borderId="59" xfId="0" applyNumberFormat="1" applyFill="1" applyBorder="1" applyAlignment="1">
      <alignment horizontal="center" vertical="center"/>
    </xf>
    <xf numFmtId="4" fontId="0" fillId="5" borderId="60" xfId="0" applyNumberFormat="1" applyFill="1" applyBorder="1" applyAlignment="1">
      <alignment horizontal="center" vertical="center"/>
    </xf>
    <xf numFmtId="4" fontId="0" fillId="5" borderId="19" xfId="0" applyNumberFormat="1" applyFill="1" applyBorder="1" applyAlignment="1">
      <alignment horizontal="center" vertical="center"/>
    </xf>
    <xf numFmtId="4" fontId="36" fillId="5" borderId="56" xfId="0" applyNumberFormat="1" applyFont="1" applyFill="1" applyBorder="1" applyAlignment="1">
      <alignment horizontal="center" vertical="center"/>
    </xf>
    <xf numFmtId="4" fontId="36" fillId="5" borderId="23" xfId="0" applyNumberFormat="1" applyFont="1" applyFill="1" applyBorder="1" applyAlignment="1">
      <alignment horizontal="center" vertical="center"/>
    </xf>
    <xf numFmtId="0" fontId="45" fillId="0" borderId="19" xfId="0" applyFont="1" applyBorder="1" applyAlignment="1">
      <alignment horizontal="center" vertical="center" wrapText="1"/>
    </xf>
    <xf numFmtId="0" fontId="45" fillId="0" borderId="1" xfId="0" applyFont="1" applyBorder="1" applyAlignment="1">
      <alignment horizontal="center"/>
    </xf>
    <xf numFmtId="0" fontId="44" fillId="0" borderId="1" xfId="0" applyFont="1" applyBorder="1" applyAlignment="1">
      <alignment horizontal="center" wrapText="1"/>
    </xf>
    <xf numFmtId="0" fontId="44" fillId="0" borderId="1" xfId="0" applyFont="1" applyBorder="1" applyAlignment="1">
      <alignment horizontal="center" vertical="center" wrapText="1"/>
    </xf>
    <xf numFmtId="0" fontId="44" fillId="0" borderId="1" xfId="0" applyFont="1" applyBorder="1" applyAlignment="1">
      <alignment horizontal="center"/>
    </xf>
    <xf numFmtId="4" fontId="0" fillId="0" borderId="0" xfId="0" applyNumberFormat="1" applyAlignment="1">
      <alignment horizontal="center" wrapText="1"/>
    </xf>
    <xf numFmtId="0" fontId="45" fillId="0" borderId="68" xfId="0" applyFont="1" applyBorder="1" applyAlignment="1">
      <alignment horizontal="center" vertical="center"/>
    </xf>
    <xf numFmtId="0" fontId="45" fillId="0" borderId="69" xfId="0" applyFont="1" applyBorder="1" applyAlignment="1">
      <alignment horizontal="center" vertical="center"/>
    </xf>
    <xf numFmtId="0" fontId="45" fillId="0" borderId="70" xfId="0" applyFont="1" applyBorder="1" applyAlignment="1">
      <alignment horizontal="center" vertical="center"/>
    </xf>
    <xf numFmtId="4" fontId="0" fillId="3" borderId="0" xfId="0" applyNumberFormat="1" applyFill="1" applyBorder="1" applyAlignment="1">
      <alignment horizontal="center" vertical="center"/>
    </xf>
    <xf numFmtId="4" fontId="0" fillId="3" borderId="49" xfId="0" applyNumberFormat="1" applyFill="1" applyBorder="1" applyAlignment="1">
      <alignment horizontal="center" vertical="center"/>
    </xf>
    <xf numFmtId="4" fontId="36" fillId="3" borderId="1" xfId="0" applyNumberFormat="1" applyFont="1" applyFill="1" applyBorder="1" applyAlignment="1">
      <alignment horizontal="center" vertical="center"/>
    </xf>
    <xf numFmtId="4" fontId="36" fillId="3" borderId="19" xfId="0" applyNumberFormat="1" applyFont="1" applyFill="1" applyBorder="1" applyAlignment="1">
      <alignment horizontal="center" vertical="center"/>
    </xf>
    <xf numFmtId="0" fontId="0" fillId="7" borderId="56" xfId="0" applyFill="1" applyBorder="1" applyAlignment="1">
      <alignment horizontal="center" vertical="center"/>
    </xf>
    <xf numFmtId="0" fontId="0" fillId="7" borderId="23" xfId="0" applyFill="1" applyBorder="1" applyAlignment="1">
      <alignment horizontal="center" vertical="center"/>
    </xf>
    <xf numFmtId="4" fontId="0" fillId="5" borderId="56" xfId="0" applyNumberFormat="1" applyFill="1" applyBorder="1" applyAlignment="1">
      <alignment horizontal="center" vertical="center"/>
    </xf>
    <xf numFmtId="4" fontId="0" fillId="5" borderId="23" xfId="0" applyNumberFormat="1" applyFill="1" applyBorder="1" applyAlignment="1">
      <alignment horizontal="center" vertical="center"/>
    </xf>
    <xf numFmtId="4" fontId="0" fillId="3" borderId="21" xfId="0" applyNumberFormat="1" applyFill="1" applyBorder="1" applyAlignment="1">
      <alignment horizontal="center" vertical="center"/>
    </xf>
    <xf numFmtId="4" fontId="0" fillId="3" borderId="64" xfId="0" applyNumberFormat="1" applyFill="1" applyBorder="1" applyAlignment="1">
      <alignment horizontal="center" vertical="center"/>
    </xf>
    <xf numFmtId="4" fontId="0" fillId="3" borderId="61" xfId="0" applyNumberFormat="1" applyFill="1" applyBorder="1" applyAlignment="1">
      <alignment horizontal="center" vertical="center"/>
    </xf>
    <xf numFmtId="4" fontId="0" fillId="5" borderId="1" xfId="0" applyNumberFormat="1" applyFill="1" applyBorder="1" applyAlignment="1">
      <alignment horizontal="center" vertical="center"/>
    </xf>
    <xf numFmtId="0" fontId="0" fillId="7" borderId="1" xfId="0" applyFill="1" applyBorder="1" applyAlignment="1">
      <alignment horizontal="center" vertical="center"/>
    </xf>
    <xf numFmtId="0" fontId="0" fillId="7" borderId="19" xfId="0" applyFill="1" applyBorder="1" applyAlignment="1">
      <alignment horizontal="center" vertical="center"/>
    </xf>
    <xf numFmtId="4" fontId="0" fillId="5" borderId="62" xfId="0" applyNumberFormat="1" applyFill="1" applyBorder="1" applyAlignment="1">
      <alignment horizontal="center" vertical="center"/>
    </xf>
    <xf numFmtId="4" fontId="0" fillId="5" borderId="63" xfId="0" applyNumberFormat="1" applyFill="1" applyBorder="1" applyAlignment="1">
      <alignment horizontal="center" vertical="center"/>
    </xf>
    <xf numFmtId="4" fontId="0" fillId="3" borderId="1" xfId="0" applyNumberFormat="1" applyFill="1" applyBorder="1" applyAlignment="1">
      <alignment horizontal="center" vertical="center"/>
    </xf>
    <xf numFmtId="4" fontId="0" fillId="5" borderId="22" xfId="0" applyNumberFormat="1" applyFill="1" applyBorder="1" applyAlignment="1">
      <alignment horizontal="center" vertical="center" wrapText="1"/>
    </xf>
    <xf numFmtId="4" fontId="0" fillId="5" borderId="2" xfId="0" applyNumberFormat="1" applyFill="1" applyBorder="1" applyAlignment="1">
      <alignment horizontal="center" vertical="center" wrapText="1"/>
    </xf>
    <xf numFmtId="4" fontId="0" fillId="5" borderId="22" xfId="0" applyNumberFormat="1" applyFill="1" applyBorder="1" applyAlignment="1">
      <alignment horizontal="center" vertical="center"/>
    </xf>
    <xf numFmtId="4" fontId="0" fillId="5" borderId="2" xfId="0" applyNumberFormat="1" applyFill="1" applyBorder="1" applyAlignment="1">
      <alignment horizontal="center" vertical="center"/>
    </xf>
    <xf numFmtId="0" fontId="0" fillId="7" borderId="57" xfId="0" applyFill="1" applyBorder="1" applyAlignment="1">
      <alignment horizontal="center" vertical="center"/>
    </xf>
    <xf numFmtId="4" fontId="0" fillId="5" borderId="57" xfId="0" applyNumberFormat="1" applyFill="1" applyBorder="1" applyAlignment="1">
      <alignment horizontal="center" vertical="center"/>
    </xf>
    <xf numFmtId="0" fontId="44" fillId="0" borderId="2" xfId="0" applyFont="1" applyBorder="1" applyAlignment="1">
      <alignment horizontal="center" vertical="center" wrapText="1"/>
    </xf>
    <xf numFmtId="4" fontId="0" fillId="8" borderId="16" xfId="0" applyNumberFormat="1" applyFill="1" applyBorder="1" applyAlignment="1">
      <alignment horizontal="center" vertical="center"/>
    </xf>
    <xf numFmtId="0" fontId="0" fillId="8" borderId="17" xfId="0" applyFill="1" applyBorder="1" applyAlignment="1">
      <alignment horizontal="center" vertical="center"/>
    </xf>
    <xf numFmtId="0" fontId="0" fillId="8" borderId="18" xfId="0" applyFill="1" applyBorder="1" applyAlignment="1">
      <alignment horizontal="center" vertical="center"/>
    </xf>
    <xf numFmtId="0" fontId="0" fillId="8" borderId="16" xfId="0" applyFill="1" applyBorder="1" applyAlignment="1">
      <alignment horizontal="center"/>
    </xf>
    <xf numFmtId="0" fontId="0" fillId="8" borderId="18" xfId="0" applyFill="1" applyBorder="1" applyAlignment="1">
      <alignment horizontal="center"/>
    </xf>
    <xf numFmtId="0" fontId="0" fillId="8" borderId="16" xfId="0" applyFill="1" applyBorder="1" applyAlignment="1">
      <alignment horizontal="center" vertical="center"/>
    </xf>
    <xf numFmtId="0" fontId="0" fillId="13" borderId="22" xfId="0" applyFill="1" applyBorder="1" applyAlignment="1">
      <alignment horizontal="center" vertical="center"/>
    </xf>
    <xf numFmtId="0" fontId="0" fillId="13" borderId="37" xfId="0" applyFill="1" applyBorder="1" applyAlignment="1">
      <alignment horizontal="center" vertical="center"/>
    </xf>
    <xf numFmtId="0" fontId="0" fillId="13" borderId="2" xfId="0" applyFill="1" applyBorder="1" applyAlignment="1">
      <alignment horizontal="center" vertical="center"/>
    </xf>
    <xf numFmtId="2" fontId="0" fillId="13" borderId="45" xfId="0" applyNumberFormat="1" applyFill="1" applyBorder="1" applyAlignment="1">
      <alignment horizontal="center" vertical="center"/>
    </xf>
    <xf numFmtId="2" fontId="0" fillId="13" borderId="47" xfId="0" applyNumberFormat="1" applyFill="1" applyBorder="1" applyAlignment="1">
      <alignment horizontal="center" vertical="center"/>
    </xf>
    <xf numFmtId="2" fontId="0" fillId="13" borderId="65" xfId="0" applyNumberFormat="1" applyFill="1" applyBorder="1" applyAlignment="1">
      <alignment horizontal="center" vertical="center"/>
    </xf>
    <xf numFmtId="4" fontId="0" fillId="14" borderId="1" xfId="0" applyNumberFormat="1" applyFill="1" applyBorder="1" applyAlignment="1">
      <alignment horizontal="center"/>
    </xf>
    <xf numFmtId="0" fontId="0" fillId="0" borderId="0" xfId="0" applyAlignment="1">
      <alignment horizontal="center"/>
    </xf>
    <xf numFmtId="0" fontId="0" fillId="0" borderId="0" xfId="0" applyAlignment="1">
      <alignment horizontal="center" wrapText="1"/>
    </xf>
    <xf numFmtId="4" fontId="0" fillId="15" borderId="1" xfId="0" applyNumberFormat="1" applyFill="1" applyBorder="1" applyAlignment="1">
      <alignment horizontal="center"/>
    </xf>
    <xf numFmtId="0" fontId="0" fillId="11" borderId="19" xfId="0" applyFill="1" applyBorder="1" applyAlignment="1">
      <alignment horizontal="center"/>
    </xf>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0" borderId="0" xfId="1" applyFont="1" applyAlignment="1">
      <alignment horizontal="center" vertical="top"/>
    </xf>
    <xf numFmtId="0" fontId="4" fillId="0" borderId="0" xfId="1" applyFont="1" applyAlignment="1">
      <alignment vertical="top"/>
    </xf>
    <xf numFmtId="0" fontId="3" fillId="0" borderId="0" xfId="1" applyFont="1" applyAlignment="1">
      <alignment horizontal="center" vertical="top" wrapText="1"/>
    </xf>
    <xf numFmtId="4" fontId="3" fillId="2" borderId="16" xfId="1" applyNumberFormat="1" applyFont="1" applyFill="1" applyBorder="1" applyAlignment="1">
      <alignment horizontal="center" vertical="center"/>
    </xf>
    <xf numFmtId="4" fontId="3" fillId="2" borderId="17" xfId="1" applyNumberFormat="1" applyFont="1" applyFill="1" applyBorder="1" applyAlignment="1">
      <alignment horizontal="center" vertical="center"/>
    </xf>
    <xf numFmtId="4" fontId="3" fillId="2" borderId="18" xfId="1" applyNumberFormat="1" applyFont="1" applyFill="1" applyBorder="1" applyAlignment="1">
      <alignment horizontal="center" vertical="center"/>
    </xf>
    <xf numFmtId="2" fontId="0" fillId="5" borderId="22" xfId="0" applyNumberFormat="1" applyFill="1" applyBorder="1" applyAlignment="1">
      <alignment horizontal="center" vertical="center"/>
    </xf>
    <xf numFmtId="2" fontId="0" fillId="5" borderId="37" xfId="0" applyNumberFormat="1" applyFill="1" applyBorder="1" applyAlignment="1">
      <alignment horizontal="center" vertical="center"/>
    </xf>
    <xf numFmtId="2" fontId="0" fillId="5" borderId="2" xfId="0" applyNumberFormat="1" applyFill="1" applyBorder="1" applyAlignment="1">
      <alignment horizontal="center" vertical="center"/>
    </xf>
    <xf numFmtId="4" fontId="4" fillId="0" borderId="1" xfId="1" applyNumberFormat="1" applyFont="1" applyBorder="1" applyAlignment="1">
      <alignment horizontal="left" vertical="center"/>
    </xf>
    <xf numFmtId="0" fontId="3" fillId="2" borderId="1" xfId="1" applyFont="1" applyFill="1" applyBorder="1" applyAlignment="1">
      <alignment horizontal="center" vertical="center"/>
    </xf>
    <xf numFmtId="0" fontId="0" fillId="3" borderId="1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0" fillId="5" borderId="22" xfId="0" applyFill="1" applyBorder="1" applyAlignment="1">
      <alignment horizontal="center"/>
    </xf>
    <xf numFmtId="0" fontId="0" fillId="5" borderId="37" xfId="0" applyFill="1" applyBorder="1" applyAlignment="1">
      <alignment horizontal="center"/>
    </xf>
    <xf numFmtId="0" fontId="0" fillId="5" borderId="2" xfId="0" applyFill="1" applyBorder="1" applyAlignment="1">
      <alignment horizontal="center"/>
    </xf>
    <xf numFmtId="4" fontId="3" fillId="2" borderId="1" xfId="1" applyNumberFormat="1" applyFont="1" applyFill="1" applyBorder="1" applyAlignment="1">
      <alignment horizontal="center" vertical="center"/>
    </xf>
    <xf numFmtId="0" fontId="47" fillId="0" borderId="0" xfId="1" applyFont="1" applyAlignment="1">
      <alignment horizontal="center" vertical="top"/>
    </xf>
    <xf numFmtId="4" fontId="4" fillId="0" borderId="1" xfId="1" applyNumberFormat="1" applyFont="1" applyBorder="1" applyAlignment="1">
      <alignment horizontal="left" vertical="center" wrapText="1"/>
    </xf>
    <xf numFmtId="4" fontId="4" fillId="0" borderId="0" xfId="1" applyNumberFormat="1" applyFont="1" applyBorder="1" applyAlignment="1">
      <alignment horizontal="center" vertical="center"/>
    </xf>
    <xf numFmtId="4" fontId="4" fillId="0" borderId="0" xfId="1" applyNumberFormat="1" applyFont="1" applyBorder="1" applyAlignment="1">
      <alignment horizontal="center" vertical="center" wrapText="1"/>
    </xf>
    <xf numFmtId="4" fontId="4" fillId="0" borderId="1" xfId="1" applyNumberFormat="1" applyFont="1" applyBorder="1" applyAlignment="1">
      <alignment horizontal="center" vertical="center"/>
    </xf>
    <xf numFmtId="4" fontId="4" fillId="0" borderId="16" xfId="1" applyNumberFormat="1" applyFont="1" applyBorder="1" applyAlignment="1">
      <alignment horizontal="center" vertical="center"/>
    </xf>
    <xf numFmtId="4" fontId="4" fillId="0" borderId="18" xfId="1" applyNumberFormat="1" applyFont="1" applyBorder="1" applyAlignment="1">
      <alignment horizontal="center" vertical="center"/>
    </xf>
    <xf numFmtId="4" fontId="4" fillId="0" borderId="17" xfId="1" applyNumberFormat="1" applyFont="1" applyBorder="1" applyAlignment="1">
      <alignment horizontal="center" vertical="center"/>
    </xf>
    <xf numFmtId="0" fontId="0" fillId="0" borderId="67" xfId="0" applyBorder="1" applyAlignment="1">
      <alignment horizontal="center" wrapText="1"/>
    </xf>
    <xf numFmtId="0" fontId="37" fillId="0" borderId="19" xfId="0" applyFont="1" applyBorder="1" applyAlignment="1">
      <alignment horizontal="center" wrapText="1"/>
    </xf>
    <xf numFmtId="0" fontId="38" fillId="0" borderId="19" xfId="0" applyFont="1" applyBorder="1" applyAlignment="1">
      <alignment horizontal="center" wrapText="1"/>
    </xf>
    <xf numFmtId="0" fontId="38" fillId="0" borderId="56" xfId="0" applyFont="1" applyBorder="1" applyAlignment="1">
      <alignment horizontal="center" wrapText="1"/>
    </xf>
    <xf numFmtId="0" fontId="5" fillId="0" borderId="0" xfId="1" applyFont="1" applyAlignment="1">
      <alignment horizontal="center" vertical="center"/>
    </xf>
    <xf numFmtId="0" fontId="4" fillId="0" borderId="16" xfId="1" applyFont="1" applyBorder="1" applyAlignment="1">
      <alignment horizontal="center" vertical="center"/>
    </xf>
    <xf numFmtId="0" fontId="4" fillId="0" borderId="18" xfId="1" applyFont="1" applyBorder="1" applyAlignment="1">
      <alignment horizontal="center" vertical="center"/>
    </xf>
    <xf numFmtId="0" fontId="4" fillId="0" borderId="0" xfId="1" applyFont="1" applyAlignment="1">
      <alignment horizontal="center" vertical="top"/>
    </xf>
    <xf numFmtId="0" fontId="0" fillId="0" borderId="0" xfId="0" applyBorder="1" applyAlignment="1">
      <alignment horizontal="center" wrapText="1"/>
    </xf>
    <xf numFmtId="167" fontId="0" fillId="0" borderId="0" xfId="0" applyNumberFormat="1" applyBorder="1" applyAlignment="1">
      <alignment horizontal="center"/>
    </xf>
    <xf numFmtId="0" fontId="0" fillId="18" borderId="1" xfId="0" applyFill="1" applyBorder="1" applyAlignment="1">
      <alignment horizontal="center"/>
    </xf>
    <xf numFmtId="0" fontId="0" fillId="8" borderId="1" xfId="0" applyFill="1" applyBorder="1" applyAlignment="1">
      <alignment horizontal="center" wrapText="1"/>
    </xf>
    <xf numFmtId="2" fontId="0" fillId="13" borderId="1" xfId="0" applyNumberFormat="1" applyFill="1" applyBorder="1" applyAlignment="1">
      <alignment horizontal="center" vertical="center"/>
    </xf>
    <xf numFmtId="0" fontId="0" fillId="13" borderId="1" xfId="0" applyFill="1" applyBorder="1" applyAlignment="1">
      <alignment horizontal="center" vertical="center"/>
    </xf>
    <xf numFmtId="0" fontId="0" fillId="13" borderId="22" xfId="0" applyFill="1" applyBorder="1" applyAlignment="1">
      <alignment horizontal="center" wrapText="1"/>
    </xf>
    <xf numFmtId="0" fontId="0" fillId="13" borderId="2" xfId="0" applyFill="1" applyBorder="1" applyAlignment="1">
      <alignment horizontal="center" wrapText="1"/>
    </xf>
    <xf numFmtId="2" fontId="0" fillId="13" borderId="22" xfId="0" applyNumberFormat="1" applyFill="1" applyBorder="1" applyAlignment="1">
      <alignment horizontal="center"/>
    </xf>
    <xf numFmtId="2" fontId="0" fillId="13" borderId="2" xfId="0" applyNumberFormat="1" applyFill="1" applyBorder="1" applyAlignment="1">
      <alignment horizontal="center"/>
    </xf>
    <xf numFmtId="0" fontId="0" fillId="13" borderId="2" xfId="0" applyFill="1" applyBorder="1" applyAlignment="1">
      <alignment horizontal="center"/>
    </xf>
    <xf numFmtId="0" fontId="0" fillId="13" borderId="22" xfId="0" applyFill="1" applyBorder="1" applyAlignment="1">
      <alignment horizont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3" fillId="2" borderId="16" xfId="1" applyFont="1" applyFill="1" applyBorder="1" applyAlignment="1">
      <alignment horizontal="center" vertical="center"/>
    </xf>
    <xf numFmtId="0" fontId="3" fillId="2" borderId="18" xfId="1" applyFont="1" applyFill="1" applyBorder="1" applyAlignment="1">
      <alignment horizontal="center" vertical="center"/>
    </xf>
    <xf numFmtId="0" fontId="4" fillId="0" borderId="1" xfId="1" applyFont="1" applyBorder="1" applyAlignment="1">
      <alignment horizontal="center" vertical="center" wrapText="1"/>
    </xf>
    <xf numFmtId="0" fontId="4" fillId="0" borderId="0" xfId="1" applyFont="1" applyBorder="1" applyAlignment="1">
      <alignment horizontal="center" vertical="center" wrapText="1"/>
    </xf>
    <xf numFmtId="0" fontId="36" fillId="0" borderId="0" xfId="2" applyFont="1" applyAlignment="1">
      <alignment horizontal="center" vertical="center" wrapText="1"/>
    </xf>
    <xf numFmtId="0" fontId="30" fillId="2" borderId="7" xfId="1" applyFont="1" applyFill="1" applyBorder="1" applyAlignment="1">
      <alignment horizontal="center" vertical="center"/>
    </xf>
    <xf numFmtId="0" fontId="30" fillId="2" borderId="8" xfId="1" applyFont="1" applyFill="1" applyBorder="1" applyAlignment="1">
      <alignment horizontal="center" vertical="center"/>
    </xf>
    <xf numFmtId="0" fontId="30" fillId="2" borderId="9" xfId="1" applyFont="1" applyFill="1" applyBorder="1" applyAlignment="1">
      <alignment horizontal="center" vertical="center"/>
    </xf>
    <xf numFmtId="4" fontId="0" fillId="15" borderId="16" xfId="0" applyNumberFormat="1" applyFill="1" applyBorder="1" applyAlignment="1">
      <alignment horizontal="center"/>
    </xf>
    <xf numFmtId="4" fontId="0" fillId="15" borderId="17" xfId="0" applyNumberFormat="1" applyFill="1" applyBorder="1" applyAlignment="1">
      <alignment horizontal="center"/>
    </xf>
    <xf numFmtId="4" fontId="0" fillId="15" borderId="18" xfId="0" applyNumberFormat="1" applyFill="1" applyBorder="1" applyAlignment="1">
      <alignment horizontal="center"/>
    </xf>
    <xf numFmtId="0" fontId="5" fillId="0" borderId="0" xfId="1" applyFont="1" applyAlignment="1">
      <alignment vertical="center" wrapText="1"/>
    </xf>
    <xf numFmtId="0" fontId="5" fillId="0" borderId="0" xfId="1" applyFont="1" applyAlignment="1">
      <alignment vertical="center"/>
    </xf>
    <xf numFmtId="0" fontId="3" fillId="0" borderId="45" xfId="1" applyFont="1" applyBorder="1" applyAlignment="1">
      <alignment horizontal="center" vertical="top"/>
    </xf>
    <xf numFmtId="0" fontId="4" fillId="0" borderId="46" xfId="1" applyFont="1" applyBorder="1" applyAlignment="1">
      <alignment vertical="top"/>
    </xf>
    <xf numFmtId="0" fontId="4" fillId="0" borderId="48" xfId="1" applyFont="1" applyBorder="1" applyAlignment="1">
      <alignment vertical="top"/>
    </xf>
    <xf numFmtId="0" fontId="4" fillId="0" borderId="47" xfId="1" applyFont="1" applyBorder="1" applyAlignment="1">
      <alignment vertical="top"/>
    </xf>
    <xf numFmtId="0" fontId="4" fillId="0" borderId="0" xfId="1" applyFont="1" applyBorder="1" applyAlignment="1">
      <alignment vertical="top"/>
    </xf>
    <xf numFmtId="0" fontId="4" fillId="0" borderId="49" xfId="1" applyFont="1" applyBorder="1" applyAlignment="1">
      <alignment vertical="top"/>
    </xf>
    <xf numFmtId="0" fontId="3" fillId="0" borderId="47" xfId="1" applyFont="1" applyBorder="1" applyAlignment="1">
      <alignment horizontal="center" vertical="top"/>
    </xf>
    <xf numFmtId="0" fontId="4" fillId="0" borderId="50" xfId="1" applyFont="1" applyBorder="1" applyAlignment="1">
      <alignment vertical="top"/>
    </xf>
    <xf numFmtId="0" fontId="4" fillId="0" borderId="51" xfId="1" applyFont="1" applyBorder="1" applyAlignment="1">
      <alignment vertical="top"/>
    </xf>
    <xf numFmtId="0" fontId="3" fillId="2" borderId="10" xfId="1" applyFont="1" applyFill="1" applyBorder="1" applyAlignment="1">
      <alignment horizontal="center" vertical="center"/>
    </xf>
    <xf numFmtId="0" fontId="4" fillId="0" borderId="42" xfId="1" applyFont="1" applyBorder="1" applyAlignment="1">
      <alignment vertical="center" wrapText="1"/>
    </xf>
    <xf numFmtId="0" fontId="4" fillId="0" borderId="38" xfId="1" applyFont="1" applyBorder="1" applyAlignment="1">
      <alignment vertical="center" wrapText="1"/>
    </xf>
    <xf numFmtId="0" fontId="4" fillId="0" borderId="25" xfId="1" applyFont="1" applyBorder="1" applyAlignment="1">
      <alignment vertical="center" wrapText="1"/>
    </xf>
    <xf numFmtId="0" fontId="4" fillId="0" borderId="43" xfId="1" applyFont="1" applyBorder="1" applyAlignment="1">
      <alignment vertical="center"/>
    </xf>
    <xf numFmtId="0" fontId="4" fillId="0" borderId="17" xfId="1" applyFont="1" applyBorder="1" applyAlignment="1">
      <alignment vertical="center"/>
    </xf>
    <xf numFmtId="0" fontId="4" fillId="0" borderId="24" xfId="1" applyFont="1" applyBorder="1" applyAlignment="1">
      <alignment vertical="center"/>
    </xf>
    <xf numFmtId="0" fontId="4" fillId="0" borderId="54" xfId="1" applyFont="1" applyBorder="1" applyAlignment="1">
      <alignment vertical="center"/>
    </xf>
    <xf numFmtId="0" fontId="4" fillId="0" borderId="53" xfId="1" applyFont="1" applyBorder="1" applyAlignment="1">
      <alignment vertical="center"/>
    </xf>
    <xf numFmtId="0" fontId="4" fillId="0" borderId="55" xfId="1" applyFont="1" applyBorder="1" applyAlignment="1">
      <alignment vertical="center"/>
    </xf>
    <xf numFmtId="0" fontId="4" fillId="0" borderId="43" xfId="1" applyFont="1" applyBorder="1" applyAlignment="1">
      <alignment horizontal="left" vertical="top" wrapText="1"/>
    </xf>
    <xf numFmtId="0" fontId="4" fillId="0" borderId="17" xfId="1" applyFont="1" applyBorder="1" applyAlignment="1">
      <alignment horizontal="left" vertical="top" wrapText="1"/>
    </xf>
    <xf numFmtId="0" fontId="4" fillId="0" borderId="24" xfId="1" applyFont="1" applyBorder="1" applyAlignment="1">
      <alignment horizontal="left" vertical="top" wrapText="1"/>
    </xf>
  </cellXfs>
  <cellStyles count="4">
    <cellStyle name="Hipervínculo" xfId="2" builtinId="8"/>
    <cellStyle name="Normal" xfId="0" builtinId="0"/>
    <cellStyle name="Normal 2" xfId="1" xr:uid="{00000000-0005-0000-0000-000002000000}"/>
    <cellStyle name="Porcentaje"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6.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9.xml.rels><?xml version="1.0" encoding="UTF-8" standalone="yes"?>
<Relationships xmlns="http://schemas.openxmlformats.org/package/2006/relationships"><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xdr:from>
      <xdr:col>3</xdr:col>
      <xdr:colOff>708660</xdr:colOff>
      <xdr:row>6</xdr:row>
      <xdr:rowOff>144780</xdr:rowOff>
    </xdr:from>
    <xdr:to>
      <xdr:col>5</xdr:col>
      <xdr:colOff>754380</xdr:colOff>
      <xdr:row>18</xdr:row>
      <xdr:rowOff>15240</xdr:rowOff>
    </xdr:to>
    <xdr:sp macro="" textlink="">
      <xdr:nvSpPr>
        <xdr:cNvPr id="11" name="CuadroTexto 1">
          <a:extLst>
            <a:ext uri="{FF2B5EF4-FFF2-40B4-BE49-F238E27FC236}">
              <a16:creationId xmlns:a16="http://schemas.microsoft.com/office/drawing/2014/main" id="{576F0B8D-C9DE-4ED4-83D6-8F9EF3238475}"/>
            </a:ext>
          </a:extLst>
        </xdr:cNvPr>
        <xdr:cNvSpPr txBox="1"/>
      </xdr:nvSpPr>
      <xdr:spPr>
        <a:xfrm>
          <a:off x="7840980" y="1242060"/>
          <a:ext cx="1630680" cy="9677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Proceso Global</a:t>
          </a:r>
        </a:p>
      </xdr:txBody>
    </xdr:sp>
    <xdr:clientData/>
  </xdr:twoCellAnchor>
  <xdr:twoCellAnchor editAs="oneCell">
    <xdr:from>
      <xdr:col>0</xdr:col>
      <xdr:colOff>1059326</xdr:colOff>
      <xdr:row>1</xdr:row>
      <xdr:rowOff>171450</xdr:rowOff>
    </xdr:from>
    <xdr:to>
      <xdr:col>7</xdr:col>
      <xdr:colOff>32928</xdr:colOff>
      <xdr:row>23</xdr:row>
      <xdr:rowOff>96867</xdr:rowOff>
    </xdr:to>
    <xdr:pic>
      <xdr:nvPicPr>
        <xdr:cNvPr id="2" name="Imagen 2">
          <a:extLst>
            <a:ext uri="{FF2B5EF4-FFF2-40B4-BE49-F238E27FC236}">
              <a16:creationId xmlns:a16="http://schemas.microsoft.com/office/drawing/2014/main" id="{90973F90-08E8-4DE0-BD14-40379BE2EDFB}"/>
            </a:ext>
            <a:ext uri="{147F2762-F138-4A5C-976F-8EAC2B608ADB}">
              <a16:predDERef xmlns:a16="http://schemas.microsoft.com/office/drawing/2014/main" pred="{576F0B8D-C9DE-4ED4-83D6-8F9EF32384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59326" y="361950"/>
          <a:ext cx="6707902" cy="411641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4</xdr:col>
      <xdr:colOff>2641568</xdr:colOff>
      <xdr:row>2</xdr:row>
      <xdr:rowOff>60801</xdr:rowOff>
    </xdr:from>
    <xdr:ext cx="1130332" cy="345544"/>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64020BD3-9F89-473A-A9B3-C64FC09A42F7}"/>
                </a:ext>
              </a:extLst>
            </xdr:cNvPr>
            <xdr:cNvSpPr txBox="1"/>
          </xdr:nvSpPr>
          <xdr:spPr>
            <a:xfrm>
              <a:off x="7737443" y="441801"/>
              <a:ext cx="1130332" cy="345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s-CL" sz="1100" b="0" i="1">
                        <a:latin typeface="Cambria Math" panose="02040503050406030204" pitchFamily="18" charset="0"/>
                      </a:rPr>
                      <m:t>𝑉</m:t>
                    </m:r>
                    <m:r>
                      <a:rPr lang="es-CL" sz="1100" b="0" i="1">
                        <a:latin typeface="Cambria Math" panose="02040503050406030204" pitchFamily="18" charset="0"/>
                      </a:rPr>
                      <m:t>=</m:t>
                    </m:r>
                    <m:f>
                      <m:fPr>
                        <m:ctrlPr>
                          <a:rPr lang="es-CL" sz="1100" b="0" i="1">
                            <a:latin typeface="Cambria Math" panose="02040503050406030204" pitchFamily="18" charset="0"/>
                          </a:rPr>
                        </m:ctrlPr>
                      </m:fPr>
                      <m:num>
                        <m:sSub>
                          <m:sSubPr>
                            <m:ctrlPr>
                              <a:rPr lang="es-CL" sz="1100" b="0" i="1">
                                <a:latin typeface="Cambria Math" panose="02040503050406030204" pitchFamily="18" charset="0"/>
                              </a:rPr>
                            </m:ctrlPr>
                          </m:sSubPr>
                          <m:e>
                            <m:r>
                              <a:rPr lang="es-CL" sz="1100" b="0" i="1">
                                <a:latin typeface="Cambria Math" panose="02040503050406030204" pitchFamily="18" charset="0"/>
                              </a:rPr>
                              <m:t>𝑃</m:t>
                            </m:r>
                          </m:e>
                          <m:sub>
                            <m:r>
                              <a:rPr lang="es-CL" sz="1100" b="0" i="1">
                                <a:latin typeface="Cambria Math" panose="02040503050406030204" pitchFamily="18" charset="0"/>
                              </a:rPr>
                              <m:t>𝑑</m:t>
                            </m:r>
                          </m:sub>
                        </m:sSub>
                      </m:num>
                      <m:den>
                        <m:sSub>
                          <m:sSubPr>
                            <m:ctrlPr>
                              <a:rPr lang="es-CL" sz="1100" b="0" i="1">
                                <a:latin typeface="Cambria Math" panose="02040503050406030204" pitchFamily="18" charset="0"/>
                              </a:rPr>
                            </m:ctrlPr>
                          </m:sSubPr>
                          <m:e>
                            <m:r>
                              <a:rPr lang="es-CL" sz="1100" b="0" i="1">
                                <a:latin typeface="Cambria Math" panose="02040503050406030204" pitchFamily="18" charset="0"/>
                              </a:rPr>
                              <m:t>𝑃</m:t>
                            </m:r>
                          </m:e>
                          <m:sub>
                            <m:r>
                              <a:rPr lang="es-CL" sz="1100" b="0" i="1">
                                <a:latin typeface="Cambria Math" panose="02040503050406030204" pitchFamily="18" charset="0"/>
                              </a:rPr>
                              <m:t>𝑉</m:t>
                            </m:r>
                          </m:sub>
                        </m:sSub>
                      </m:den>
                    </m:f>
                  </m:oMath>
                </m:oMathPara>
              </a14:m>
              <a:endParaRPr lang="es-CL" sz="1100"/>
            </a:p>
          </xdr:txBody>
        </xdr:sp>
      </mc:Choice>
      <mc:Fallback xmlns="">
        <xdr:sp macro="" textlink="">
          <xdr:nvSpPr>
            <xdr:cNvPr id="2" name="CuadroTexto 1">
              <a:extLst>
                <a:ext uri="{FF2B5EF4-FFF2-40B4-BE49-F238E27FC236}">
                  <a16:creationId xmlns:a16="http://schemas.microsoft.com/office/drawing/2014/main" id="{64020BD3-9F89-473A-A9B3-C64FC09A42F7}"/>
                </a:ext>
              </a:extLst>
            </xdr:cNvPr>
            <xdr:cNvSpPr txBox="1"/>
          </xdr:nvSpPr>
          <xdr:spPr>
            <a:xfrm>
              <a:off x="7737443" y="441801"/>
              <a:ext cx="1130332" cy="3455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L" sz="1100" b="0" i="0">
                  <a:latin typeface="Cambria Math" panose="02040503050406030204" pitchFamily="18" charset="0"/>
                </a:rPr>
                <a:t>𝑉=𝑃_𝑑/𝑃_𝑉 </a:t>
              </a:r>
              <a:endParaRPr lang="es-CL" sz="1100"/>
            </a:p>
          </xdr:txBody>
        </xdr:sp>
      </mc:Fallback>
    </mc:AlternateContent>
    <xdr:clientData/>
  </xdr:oneCellAnchor>
  <xdr:oneCellAnchor>
    <xdr:from>
      <xdr:col>1</xdr:col>
      <xdr:colOff>744609</xdr:colOff>
      <xdr:row>40</xdr:row>
      <xdr:rowOff>185306</xdr:rowOff>
    </xdr:from>
    <xdr:ext cx="1109535" cy="344453"/>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EDCBDFC3-962C-492B-8A22-B8691B1AA0D9}"/>
                </a:ext>
              </a:extLst>
            </xdr:cNvPr>
            <xdr:cNvSpPr txBox="1"/>
          </xdr:nvSpPr>
          <xdr:spPr>
            <a:xfrm>
              <a:off x="4369057" y="10712287"/>
              <a:ext cx="11095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latin typeface="Cambria Math" panose="02040503050406030204" pitchFamily="18" charset="0"/>
                          </a:rPr>
                        </m:ctrlPr>
                      </m:sSubPr>
                      <m:e>
                        <m:r>
                          <a:rPr lang="es-CL" sz="1100" b="0" i="1">
                            <a:latin typeface="Cambria Math" panose="02040503050406030204" pitchFamily="18" charset="0"/>
                          </a:rPr>
                          <m:t>𝐶</m:t>
                        </m:r>
                      </m:e>
                      <m:sub>
                        <m:r>
                          <a:rPr lang="es-CL" sz="1100" b="0" i="1">
                            <a:latin typeface="Cambria Math" panose="02040503050406030204" pitchFamily="18" charset="0"/>
                          </a:rPr>
                          <m:t>204</m:t>
                        </m:r>
                      </m:sub>
                    </m:sSub>
                    <m:sSub>
                      <m:sSubPr>
                        <m:ctrlPr>
                          <a:rPr lang="es-CL" sz="1100" b="0" i="1">
                            <a:latin typeface="Cambria Math" panose="02040503050406030204" pitchFamily="18" charset="0"/>
                          </a:rPr>
                        </m:ctrlPr>
                      </m:sSubPr>
                      <m:e>
                        <m:r>
                          <a:rPr lang="es-CL" sz="1100" b="0" i="1">
                            <a:latin typeface="Cambria Math" panose="02040503050406030204" pitchFamily="18" charset="0"/>
                          </a:rPr>
                          <m:t>𝐻</m:t>
                        </m:r>
                      </m:e>
                      <m:sub>
                        <m:r>
                          <a:rPr lang="es-CL" sz="1100" b="0" i="1">
                            <a:latin typeface="Cambria Math" panose="02040503050406030204" pitchFamily="18" charset="0"/>
                          </a:rPr>
                          <m:t>324</m:t>
                        </m:r>
                      </m:sub>
                    </m:sSub>
                    <m:sSub>
                      <m:sSubPr>
                        <m:ctrlPr>
                          <a:rPr lang="es-CL" sz="1100" b="0" i="1">
                            <a:latin typeface="Cambria Math" panose="02040503050406030204" pitchFamily="18" charset="0"/>
                          </a:rPr>
                        </m:ctrlPr>
                      </m:sSubPr>
                      <m:e>
                        <m:r>
                          <a:rPr lang="es-CL" sz="1100" b="0" i="1">
                            <a:latin typeface="Cambria Math" panose="02040503050406030204" pitchFamily="18" charset="0"/>
                          </a:rPr>
                          <m:t>𝑂</m:t>
                        </m:r>
                      </m:e>
                      <m:sub>
                        <m:r>
                          <a:rPr lang="es-CL" sz="1100" b="0" i="1">
                            <a:latin typeface="Cambria Math" panose="02040503050406030204" pitchFamily="18" charset="0"/>
                          </a:rPr>
                          <m:t>67</m:t>
                        </m:r>
                      </m:sub>
                    </m:sSub>
                    <m:sSub>
                      <m:sSubPr>
                        <m:ctrlPr>
                          <a:rPr lang="es-CL" sz="1100" b="0" i="1">
                            <a:latin typeface="Cambria Math" panose="02040503050406030204" pitchFamily="18" charset="0"/>
                          </a:rPr>
                        </m:ctrlPr>
                      </m:sSubPr>
                      <m:e>
                        <m:r>
                          <a:rPr lang="es-CL" sz="1100" b="0" i="1">
                            <a:latin typeface="Cambria Math" panose="02040503050406030204" pitchFamily="18" charset="0"/>
                          </a:rPr>
                          <m:t>𝑁</m:t>
                        </m:r>
                      </m:e>
                      <m:sub>
                        <m:r>
                          <a:rPr lang="es-CL" sz="1100" b="0" i="1">
                            <a:latin typeface="Cambria Math" panose="02040503050406030204" pitchFamily="18" charset="0"/>
                          </a:rPr>
                          <m:t>51</m:t>
                        </m:r>
                      </m:sub>
                    </m:sSub>
                  </m:oMath>
                </m:oMathPara>
              </a14:m>
              <a:endParaRPr lang="es-CL" sz="1100" b="0"/>
            </a:p>
            <a:p>
              <a:endParaRPr lang="es-CL" sz="1100"/>
            </a:p>
          </xdr:txBody>
        </xdr:sp>
      </mc:Choice>
      <mc:Fallback xmlns="">
        <xdr:sp macro="" textlink="">
          <xdr:nvSpPr>
            <xdr:cNvPr id="4" name="CuadroTexto 3">
              <a:extLst>
                <a:ext uri="{FF2B5EF4-FFF2-40B4-BE49-F238E27FC236}">
                  <a16:creationId xmlns:a16="http://schemas.microsoft.com/office/drawing/2014/main" id="{EDCBDFC3-962C-492B-8A22-B8691B1AA0D9}"/>
                </a:ext>
              </a:extLst>
            </xdr:cNvPr>
            <xdr:cNvSpPr txBox="1"/>
          </xdr:nvSpPr>
          <xdr:spPr>
            <a:xfrm>
              <a:off x="4369057" y="10712287"/>
              <a:ext cx="11095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b="0" i="0">
                  <a:latin typeface="Cambria Math" panose="02040503050406030204" pitchFamily="18" charset="0"/>
                </a:rPr>
                <a:t>𝐶_204 𝐻_324 𝑂_67 𝑁_51</a:t>
              </a:r>
              <a:endParaRPr lang="es-CL" sz="1100" b="0"/>
            </a:p>
            <a:p>
              <a:endParaRPr lang="es-CL" sz="1100"/>
            </a:p>
          </xdr:txBody>
        </xdr:sp>
      </mc:Fallback>
    </mc:AlternateContent>
    <xdr:clientData/>
  </xdr:oneCellAnchor>
  <xdr:oneCellAnchor>
    <xdr:from>
      <xdr:col>4</xdr:col>
      <xdr:colOff>1590722</xdr:colOff>
      <xdr:row>63</xdr:row>
      <xdr:rowOff>15933</xdr:rowOff>
    </xdr:from>
    <xdr:ext cx="1999843" cy="388761"/>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1269905E-1C87-4646-B7B5-DFAD17CA2B34}"/>
                </a:ext>
              </a:extLst>
            </xdr:cNvPr>
            <xdr:cNvSpPr txBox="1"/>
          </xdr:nvSpPr>
          <xdr:spPr>
            <a:xfrm>
              <a:off x="8048112" y="16054352"/>
              <a:ext cx="1999843" cy="3887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trlPr>
                          <a:rPr lang="es-CL" sz="1100" i="1">
                            <a:latin typeface="Cambria Math" panose="02040503050406030204" pitchFamily="18" charset="0"/>
                          </a:rPr>
                        </m:ctrlPr>
                      </m:naryPr>
                      <m:sub>
                        <m:r>
                          <m:rPr>
                            <m:brk m:alnAt="23"/>
                          </m:rPr>
                          <a:rPr lang="es-CL" sz="1100" b="0" i="1">
                            <a:latin typeface="Cambria Math" panose="02040503050406030204" pitchFamily="18" charset="0"/>
                          </a:rPr>
                          <m:t>0</m:t>
                        </m:r>
                      </m:sub>
                      <m:sup>
                        <m:r>
                          <a:rPr lang="es-CL" sz="1100" b="0" i="1">
                            <a:latin typeface="Cambria Math" panose="02040503050406030204" pitchFamily="18" charset="0"/>
                          </a:rPr>
                          <m:t>0,99</m:t>
                        </m:r>
                      </m:sup>
                      <m:e>
                        <m:f>
                          <m:fPr>
                            <m:ctrlPr>
                              <a:rPr lang="es-CL" sz="1100" b="0" i="1">
                                <a:latin typeface="Cambria Math" panose="02040503050406030204" pitchFamily="18" charset="0"/>
                              </a:rPr>
                            </m:ctrlPr>
                          </m:fPr>
                          <m:num>
                            <m:sSub>
                              <m:sSubPr>
                                <m:ctrlPr>
                                  <a:rPr lang="es-CL" sz="1100" b="0" i="1">
                                    <a:latin typeface="Cambria Math" panose="02040503050406030204" pitchFamily="18" charset="0"/>
                                  </a:rPr>
                                </m:ctrlPr>
                              </m:sSubPr>
                              <m:e>
                                <m:r>
                                  <a:rPr lang="es-CL" sz="1100" b="0" i="1">
                                    <a:latin typeface="Cambria Math" panose="02040503050406030204" pitchFamily="18" charset="0"/>
                                  </a:rPr>
                                  <m:t>𝑑</m:t>
                                </m:r>
                              </m:e>
                              <m:sub>
                                <m:r>
                                  <a:rPr lang="es-CL" sz="1100" b="0" i="1">
                                    <a:latin typeface="Cambria Math" panose="02040503050406030204" pitchFamily="18" charset="0"/>
                                  </a:rPr>
                                  <m:t>𝑐𝑜𝑛𝑣𝑒𝑟𝑠𝑖</m:t>
                                </m:r>
                                <m:r>
                                  <a:rPr lang="es-CL" sz="1100" b="0" i="1">
                                    <a:latin typeface="Cambria Math" panose="02040503050406030204" pitchFamily="18" charset="0"/>
                                  </a:rPr>
                                  <m:t>ó</m:t>
                                </m:r>
                                <m:r>
                                  <a:rPr lang="es-CL" sz="1100" b="0" i="1">
                                    <a:latin typeface="Cambria Math" panose="02040503050406030204" pitchFamily="18" charset="0"/>
                                  </a:rPr>
                                  <m:t>𝑛</m:t>
                                </m:r>
                              </m:sub>
                            </m:sSub>
                          </m:num>
                          <m:den>
                            <m:r>
                              <a:rPr lang="es-CL" sz="1100" b="0" i="1">
                                <a:latin typeface="Cambria Math" panose="02040503050406030204" pitchFamily="18" charset="0"/>
                              </a:rPr>
                              <m:t>(1−</m:t>
                            </m:r>
                            <m:r>
                              <a:rPr lang="es-CL" sz="1100" b="0" i="1">
                                <a:latin typeface="Cambria Math" panose="02040503050406030204" pitchFamily="18" charset="0"/>
                              </a:rPr>
                              <m:t>𝑐𝑜𝑛𝑣𝑒𝑟𝑠𝑖</m:t>
                            </m:r>
                            <m:r>
                              <a:rPr lang="es-CL" sz="1100" b="0" i="1">
                                <a:latin typeface="Cambria Math" panose="02040503050406030204" pitchFamily="18" charset="0"/>
                              </a:rPr>
                              <m:t>ó</m:t>
                            </m:r>
                            <m:r>
                              <a:rPr lang="es-CL" sz="1100" b="0" i="1">
                                <a:latin typeface="Cambria Math" panose="02040503050406030204" pitchFamily="18" charset="0"/>
                              </a:rPr>
                              <m:t>𝑛</m:t>
                            </m:r>
                            <m:r>
                              <a:rPr lang="es-CL" sz="1100" b="0" i="1">
                                <a:latin typeface="Cambria Math" panose="02040503050406030204" pitchFamily="18" charset="0"/>
                              </a:rPr>
                              <m:t>)∙</m:t>
                            </m:r>
                            <m:sSub>
                              <m:sSubPr>
                                <m:ctrlPr>
                                  <a:rPr lang="es-CL" sz="1100" b="0" i="1">
                                    <a:latin typeface="Cambria Math" panose="02040503050406030204" pitchFamily="18" charset="0"/>
                                    <a:ea typeface="Cambria Math" panose="02040503050406030204" pitchFamily="18" charset="0"/>
                                  </a:rPr>
                                </m:ctrlPr>
                              </m:sSubPr>
                              <m:e>
                                <m:r>
                                  <a:rPr lang="es-CL" sz="1100" b="0" i="1">
                                    <a:latin typeface="Cambria Math" panose="02040503050406030204" pitchFamily="18" charset="0"/>
                                    <a:ea typeface="Cambria Math" panose="02040503050406030204" pitchFamily="18" charset="0"/>
                                  </a:rPr>
                                  <m:t>𝐾</m:t>
                                </m:r>
                              </m:e>
                              <m:sub>
                                <m:r>
                                  <a:rPr lang="es-CL" sz="1100" b="0" i="1">
                                    <a:latin typeface="Cambria Math" panose="02040503050406030204" pitchFamily="18" charset="0"/>
                                    <a:ea typeface="Cambria Math" panose="02040503050406030204" pitchFamily="18" charset="0"/>
                                  </a:rPr>
                                  <m:t>𝑑𝑝</m:t>
                                </m:r>
                              </m:sub>
                            </m:sSub>
                          </m:den>
                        </m:f>
                      </m:e>
                    </m:nary>
                    <m:r>
                      <a:rPr lang="es-CL" sz="1100" i="1">
                        <a:latin typeface="Cambria Math" panose="02040503050406030204" pitchFamily="18" charset="0"/>
                      </a:rPr>
                      <m:t>=</m:t>
                    </m:r>
                    <m:r>
                      <a:rPr lang="es-CL" sz="1100" b="0" i="1">
                        <a:latin typeface="Cambria Math" panose="02040503050406030204" pitchFamily="18" charset="0"/>
                      </a:rPr>
                      <m:t>𝑡</m:t>
                    </m:r>
                  </m:oMath>
                </m:oMathPara>
              </a14:m>
              <a:endParaRPr lang="es-CL" sz="1100"/>
            </a:p>
          </xdr:txBody>
        </xdr:sp>
      </mc:Choice>
      <mc:Fallback xmlns="">
        <xdr:sp macro="" textlink="">
          <xdr:nvSpPr>
            <xdr:cNvPr id="5" name="CuadroTexto 4">
              <a:extLst>
                <a:ext uri="{FF2B5EF4-FFF2-40B4-BE49-F238E27FC236}">
                  <a16:creationId xmlns:a16="http://schemas.microsoft.com/office/drawing/2014/main" id="{1269905E-1C87-4646-B7B5-DFAD17CA2B34}"/>
                </a:ext>
              </a:extLst>
            </xdr:cNvPr>
            <xdr:cNvSpPr txBox="1"/>
          </xdr:nvSpPr>
          <xdr:spPr>
            <a:xfrm>
              <a:off x="8048112" y="16054352"/>
              <a:ext cx="1999843" cy="3887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i="0">
                  <a:latin typeface="Cambria Math" panose="02040503050406030204" pitchFamily="18" charset="0"/>
                </a:rPr>
                <a:t>∫24_</a:t>
              </a:r>
              <a:r>
                <a:rPr lang="es-CL" sz="1100" b="0" i="0">
                  <a:latin typeface="Cambria Math" panose="02040503050406030204" pitchFamily="18" charset="0"/>
                </a:rPr>
                <a:t>0^0,99▒𝑑_𝑐𝑜𝑛𝑣𝑒𝑟𝑠𝑖ó𝑛/((1−𝑐𝑜𝑛𝑣𝑒𝑟𝑠𝑖ó𝑛)</a:t>
              </a:r>
              <a:r>
                <a:rPr lang="es-CL" sz="1100" b="0" i="0">
                  <a:latin typeface="Cambria Math" panose="02040503050406030204" pitchFamily="18" charset="0"/>
                  <a:ea typeface="Cambria Math" panose="02040503050406030204" pitchFamily="18" charset="0"/>
                </a:rPr>
                <a:t>∙𝐾_𝑑𝑝 )</a:t>
              </a:r>
              <a:r>
                <a:rPr lang="es-CL" sz="1100" i="0">
                  <a:latin typeface="Cambria Math" panose="02040503050406030204" pitchFamily="18" charset="0"/>
                </a:rPr>
                <a:t>=</a:t>
              </a:r>
              <a:r>
                <a:rPr lang="es-CL" sz="1100" b="0" i="0">
                  <a:latin typeface="Cambria Math" panose="02040503050406030204" pitchFamily="18" charset="0"/>
                </a:rPr>
                <a:t>𝑡</a:t>
              </a:r>
              <a:endParaRPr lang="es-CL" sz="1100"/>
            </a:p>
          </xdr:txBody>
        </xdr:sp>
      </mc:Fallback>
    </mc:AlternateContent>
    <xdr:clientData/>
  </xdr:oneCellAnchor>
  <xdr:oneCellAnchor>
    <xdr:from>
      <xdr:col>4</xdr:col>
      <xdr:colOff>2128837</xdr:colOff>
      <xdr:row>46</xdr:row>
      <xdr:rowOff>23812</xdr:rowOff>
    </xdr:from>
    <xdr:ext cx="1530868" cy="184731"/>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77E35C53-487A-42FF-98C7-D15AA84CBB0E}"/>
                </a:ext>
              </a:extLst>
            </xdr:cNvPr>
            <xdr:cNvSpPr txBox="1"/>
          </xdr:nvSpPr>
          <xdr:spPr>
            <a:xfrm>
              <a:off x="8624887" y="11006137"/>
              <a:ext cx="1530868" cy="1847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𝑝𝑒𝑝𝑎</m:t>
                        </m:r>
                      </m:sub>
                    </m:sSub>
                    <m:r>
                      <a:rPr lang="es-CL" sz="1100" b="0" i="1">
                        <a:solidFill>
                          <a:schemeClr val="tx1"/>
                        </a:solidFill>
                        <a:effectLst/>
                        <a:latin typeface="Cambria Math" panose="02040503050406030204" pitchFamily="18" charset="0"/>
                        <a:ea typeface="+mn-ea"/>
                        <a:cs typeface="+mn-cs"/>
                      </a:rPr>
                      <m:t>=</m:t>
                    </m:r>
                    <m:r>
                      <a:rPr lang="es-ES" sz="1100" i="1">
                        <a:solidFill>
                          <a:schemeClr val="tx1"/>
                        </a:solidFill>
                        <a:effectLst/>
                        <a:latin typeface="Cambria Math" panose="02040503050406030204" pitchFamily="18" charset="0"/>
                        <a:ea typeface="+mn-ea"/>
                        <a:cs typeface="+mn-cs"/>
                      </a:rPr>
                      <m:t>0,9∙</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𝐹</m:t>
                        </m:r>
                      </m:e>
                      <m:sub>
                        <m:r>
                          <a:rPr lang="es-ES" sz="1100" i="1">
                            <a:solidFill>
                              <a:schemeClr val="tx1"/>
                            </a:solidFill>
                            <a:effectLst/>
                            <a:latin typeface="Cambria Math" panose="02040503050406030204" pitchFamily="18" charset="0"/>
                            <a:ea typeface="+mn-ea"/>
                            <a:cs typeface="+mn-cs"/>
                          </a:rPr>
                          <m:t>𝑝𝑒𝑝𝑎</m:t>
                        </m:r>
                        <m:r>
                          <a:rPr lang="es-ES" sz="1100" i="1">
                            <a:solidFill>
                              <a:schemeClr val="tx1"/>
                            </a:solidFill>
                            <a:effectLst/>
                            <a:latin typeface="Cambria Math" panose="02040503050406030204" pitchFamily="18" charset="0"/>
                            <a:ea typeface="+mn-ea"/>
                            <a:cs typeface="+mn-cs"/>
                          </a:rPr>
                          <m:t> </m:t>
                        </m:r>
                        <m:r>
                          <a:rPr lang="es-ES" sz="1100" i="1">
                            <a:solidFill>
                              <a:schemeClr val="tx1"/>
                            </a:solidFill>
                            <a:effectLst/>
                            <a:latin typeface="Cambria Math" panose="02040503050406030204" pitchFamily="18" charset="0"/>
                            <a:ea typeface="+mn-ea"/>
                            <a:cs typeface="+mn-cs"/>
                          </a:rPr>
                          <m:t>𝑚𝑜𝑙𝑒𝑑𝑜𝑟</m:t>
                        </m:r>
                      </m:sub>
                    </m:sSub>
                  </m:oMath>
                </m:oMathPara>
              </a14:m>
              <a:endParaRPr lang="es-CL" sz="1100"/>
            </a:p>
          </xdr:txBody>
        </xdr:sp>
      </mc:Choice>
      <mc:Fallback xmlns="">
        <xdr:sp macro="" textlink="">
          <xdr:nvSpPr>
            <xdr:cNvPr id="6" name="CuadroTexto 5">
              <a:extLst>
                <a:ext uri="{FF2B5EF4-FFF2-40B4-BE49-F238E27FC236}">
                  <a16:creationId xmlns:a16="http://schemas.microsoft.com/office/drawing/2014/main" id="{77E35C53-487A-42FF-98C7-D15AA84CBB0E}"/>
                </a:ext>
              </a:extLst>
            </xdr:cNvPr>
            <xdr:cNvSpPr txBox="1"/>
          </xdr:nvSpPr>
          <xdr:spPr>
            <a:xfrm>
              <a:off x="8624887" y="11006137"/>
              <a:ext cx="1530868" cy="1847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b="0" i="0">
                  <a:solidFill>
                    <a:schemeClr val="tx1"/>
                  </a:solidFill>
                  <a:effectLst/>
                  <a:latin typeface="Cambria Math" panose="02040503050406030204" pitchFamily="18" charset="0"/>
                  <a:ea typeface="+mn-ea"/>
                  <a:cs typeface="+mn-cs"/>
                </a:rPr>
                <a:t>𝐹_𝑝𝑒𝑝𝑎=</a:t>
              </a:r>
              <a:r>
                <a:rPr lang="es-ES" sz="1100" i="0">
                  <a:solidFill>
                    <a:schemeClr val="tx1"/>
                  </a:solidFill>
                  <a:effectLst/>
                  <a:latin typeface="+mn-lt"/>
                  <a:ea typeface="+mn-ea"/>
                  <a:cs typeface="+mn-cs"/>
                </a:rPr>
                <a:t>0,9∙𝐹</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𝑝𝑒𝑝𝑎 𝑚𝑜𝑙𝑒𝑑𝑜𝑟</a:t>
              </a:r>
              <a:r>
                <a:rPr lang="es-CL" sz="1100" i="0">
                  <a:solidFill>
                    <a:schemeClr val="tx1"/>
                  </a:solidFill>
                  <a:effectLst/>
                  <a:latin typeface="+mn-lt"/>
                  <a:ea typeface="+mn-ea"/>
                  <a:cs typeface="+mn-cs"/>
                </a:rPr>
                <a:t>)</a:t>
              </a:r>
              <a:endParaRPr lang="es-CL" sz="1100"/>
            </a:p>
          </xdr:txBody>
        </xdr:sp>
      </mc:Fallback>
    </mc:AlternateContent>
    <xdr:clientData/>
  </xdr:oneCellAnchor>
  <xdr:oneCellAnchor>
    <xdr:from>
      <xdr:col>4</xdr:col>
      <xdr:colOff>2095500</xdr:colOff>
      <xdr:row>47</xdr:row>
      <xdr:rowOff>9525</xdr:rowOff>
    </xdr:from>
    <xdr:ext cx="1495089" cy="184731"/>
    <mc:AlternateContent xmlns:mc="http://schemas.openxmlformats.org/markup-compatibility/2006" xmlns:a14="http://schemas.microsoft.com/office/drawing/2010/main">
      <mc:Choice Requires="a14">
        <xdr:sp macro="" textlink="">
          <xdr:nvSpPr>
            <xdr:cNvPr id="7" name="CuadroTexto 6">
              <a:extLst>
                <a:ext uri="{FF2B5EF4-FFF2-40B4-BE49-F238E27FC236}">
                  <a16:creationId xmlns:a16="http://schemas.microsoft.com/office/drawing/2014/main" id="{C0200D03-2F56-45DB-88CA-95E6ADF48A63}"/>
                </a:ext>
              </a:extLst>
            </xdr:cNvPr>
            <xdr:cNvSpPr txBox="1"/>
          </xdr:nvSpPr>
          <xdr:spPr>
            <a:xfrm>
              <a:off x="8591550" y="11191875"/>
              <a:ext cx="1495089" cy="1847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𝑝𝑟𝑜𝑡𝑒𝑖𝑛𝑎</m:t>
                        </m:r>
                      </m:sub>
                    </m:sSub>
                    <m:r>
                      <a:rPr lang="es-CL" sz="1100" b="0" i="1">
                        <a:solidFill>
                          <a:schemeClr val="tx1"/>
                        </a:solidFill>
                        <a:effectLst/>
                        <a:latin typeface="Cambria Math" panose="02040503050406030204" pitchFamily="18" charset="0"/>
                        <a:ea typeface="+mn-ea"/>
                        <a:cs typeface="+mn-cs"/>
                      </a:rPr>
                      <m:t>=</m:t>
                    </m:r>
                    <m:r>
                      <a:rPr lang="es-ES" sz="1100" i="1">
                        <a:solidFill>
                          <a:schemeClr val="tx1"/>
                        </a:solidFill>
                        <a:effectLst/>
                        <a:latin typeface="Cambria Math" panose="02040503050406030204" pitchFamily="18" charset="0"/>
                        <a:ea typeface="+mn-ea"/>
                        <a:cs typeface="+mn-cs"/>
                      </a:rPr>
                      <m:t>0</m:t>
                    </m:r>
                    <m:r>
                      <a:rPr lang="es-CL" sz="1100" b="0" i="1">
                        <a:solidFill>
                          <a:schemeClr val="tx1"/>
                        </a:solidFill>
                        <a:effectLst/>
                        <a:latin typeface="Cambria Math" panose="02040503050406030204" pitchFamily="18" charset="0"/>
                        <a:ea typeface="+mn-ea"/>
                        <a:cs typeface="+mn-cs"/>
                      </a:rPr>
                      <m:t>,379</m:t>
                    </m:r>
                    <m:r>
                      <a:rPr lang="es-ES" sz="110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𝐹</m:t>
                        </m:r>
                      </m:e>
                      <m:sub>
                        <m:r>
                          <a:rPr lang="es-ES" sz="1100" i="1">
                            <a:solidFill>
                              <a:schemeClr val="tx1"/>
                            </a:solidFill>
                            <a:effectLst/>
                            <a:latin typeface="Cambria Math" panose="02040503050406030204" pitchFamily="18" charset="0"/>
                            <a:ea typeface="+mn-ea"/>
                            <a:cs typeface="+mn-cs"/>
                          </a:rPr>
                          <m:t>𝑝𝑒𝑝𝑎</m:t>
                        </m:r>
                        <m:r>
                          <a:rPr lang="es-ES" sz="1100" i="1">
                            <a:solidFill>
                              <a:schemeClr val="tx1"/>
                            </a:solidFill>
                            <a:effectLst/>
                            <a:latin typeface="Cambria Math" panose="02040503050406030204" pitchFamily="18" charset="0"/>
                            <a:ea typeface="+mn-ea"/>
                            <a:cs typeface="+mn-cs"/>
                          </a:rPr>
                          <m:t> </m:t>
                        </m:r>
                      </m:sub>
                    </m:sSub>
                  </m:oMath>
                </m:oMathPara>
              </a14:m>
              <a:endParaRPr lang="es-CL" sz="1100"/>
            </a:p>
          </xdr:txBody>
        </xdr:sp>
      </mc:Choice>
      <mc:Fallback xmlns="">
        <xdr:sp macro="" textlink="">
          <xdr:nvSpPr>
            <xdr:cNvPr id="7" name="CuadroTexto 6">
              <a:extLst>
                <a:ext uri="{FF2B5EF4-FFF2-40B4-BE49-F238E27FC236}">
                  <a16:creationId xmlns:a16="http://schemas.microsoft.com/office/drawing/2014/main" id="{C0200D03-2F56-45DB-88CA-95E6ADF48A63}"/>
                </a:ext>
              </a:extLst>
            </xdr:cNvPr>
            <xdr:cNvSpPr txBox="1"/>
          </xdr:nvSpPr>
          <xdr:spPr>
            <a:xfrm>
              <a:off x="8591550" y="11191875"/>
              <a:ext cx="1495089" cy="1847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b="0" i="0">
                  <a:solidFill>
                    <a:schemeClr val="tx1"/>
                  </a:solidFill>
                  <a:effectLst/>
                  <a:latin typeface="Cambria Math" panose="02040503050406030204" pitchFamily="18" charset="0"/>
                  <a:ea typeface="+mn-ea"/>
                  <a:cs typeface="+mn-cs"/>
                </a:rPr>
                <a:t>𝐹_𝑝𝑟𝑜𝑡𝑒𝑖𝑛𝑎=</a:t>
              </a:r>
              <a:r>
                <a:rPr lang="es-ES" sz="1100" i="0">
                  <a:solidFill>
                    <a:schemeClr val="tx1"/>
                  </a:solidFill>
                  <a:effectLst/>
                  <a:latin typeface="+mn-lt"/>
                  <a:ea typeface="+mn-ea"/>
                  <a:cs typeface="+mn-cs"/>
                </a:rPr>
                <a:t>0</a:t>
              </a:r>
              <a:r>
                <a:rPr lang="es-CL" sz="1100" b="0" i="0">
                  <a:solidFill>
                    <a:schemeClr val="tx1"/>
                  </a:solidFill>
                  <a:effectLst/>
                  <a:latin typeface="Cambria Math" panose="02040503050406030204" pitchFamily="18" charset="0"/>
                  <a:ea typeface="+mn-ea"/>
                  <a:cs typeface="+mn-cs"/>
                </a:rPr>
                <a:t>,379</a:t>
              </a:r>
              <a:r>
                <a:rPr lang="es-ES" sz="1100" i="0">
                  <a:solidFill>
                    <a:schemeClr val="tx1"/>
                  </a:solidFill>
                  <a:effectLst/>
                  <a:latin typeface="+mn-lt"/>
                  <a:ea typeface="+mn-ea"/>
                  <a:cs typeface="+mn-cs"/>
                </a:rPr>
                <a:t>∙𝐹</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𝑝𝑒𝑝𝑎 </a:t>
              </a:r>
              <a:r>
                <a:rPr lang="es-CL" sz="1100" i="0">
                  <a:solidFill>
                    <a:schemeClr val="tx1"/>
                  </a:solidFill>
                  <a:effectLst/>
                  <a:latin typeface="+mn-lt"/>
                  <a:ea typeface="+mn-ea"/>
                  <a:cs typeface="+mn-cs"/>
                </a:rPr>
                <a:t>)</a:t>
              </a:r>
              <a:endParaRPr lang="es-CL" sz="1100"/>
            </a:p>
          </xdr:txBody>
        </xdr:sp>
      </mc:Fallback>
    </mc:AlternateContent>
    <xdr:clientData/>
  </xdr:oneCellAnchor>
  <xdr:oneCellAnchor>
    <xdr:from>
      <xdr:col>4</xdr:col>
      <xdr:colOff>1990725</xdr:colOff>
      <xdr:row>52</xdr:row>
      <xdr:rowOff>100012</xdr:rowOff>
    </xdr:from>
    <xdr:ext cx="1224694" cy="524054"/>
    <mc:AlternateContent xmlns:mc="http://schemas.openxmlformats.org/markup-compatibility/2006" xmlns:a14="http://schemas.microsoft.com/office/drawing/2010/main">
      <mc:Choice Requires="a14">
        <xdr:sp macro="" textlink="">
          <xdr:nvSpPr>
            <xdr:cNvPr id="8" name="CuadroTexto 7">
              <a:extLst>
                <a:ext uri="{FF2B5EF4-FFF2-40B4-BE49-F238E27FC236}">
                  <a16:creationId xmlns:a16="http://schemas.microsoft.com/office/drawing/2014/main" id="{26017A6A-F975-4705-9734-E15721817294}"/>
                </a:ext>
              </a:extLst>
            </xdr:cNvPr>
            <xdr:cNvSpPr txBox="1"/>
          </xdr:nvSpPr>
          <xdr:spPr>
            <a:xfrm>
              <a:off x="8486775" y="12282487"/>
              <a:ext cx="1224694" cy="5240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𝑛</m:t>
                        </m:r>
                      </m:e>
                      <m:sub>
                        <m:r>
                          <a:rPr lang="es-ES" sz="1100" i="1">
                            <a:solidFill>
                              <a:schemeClr val="tx1"/>
                            </a:solidFill>
                            <a:effectLst/>
                            <a:latin typeface="Cambria Math" panose="02040503050406030204" pitchFamily="18" charset="0"/>
                            <a:ea typeface="+mn-ea"/>
                            <a:cs typeface="+mn-cs"/>
                          </a:rPr>
                          <m:t>𝑐</m:t>
                        </m:r>
                      </m:sub>
                    </m:sSub>
                    <m:r>
                      <a:rPr lang="es-ES" sz="110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ES" sz="1100" i="1">
                            <a:solidFill>
                              <a:schemeClr val="tx1"/>
                            </a:solidFill>
                            <a:effectLst/>
                            <a:latin typeface="Cambria Math" panose="02040503050406030204" pitchFamily="18" charset="0"/>
                            <a:ea typeface="+mn-ea"/>
                            <a:cs typeface="+mn-cs"/>
                          </a:rPr>
                          <m:t>𝑐</m:t>
                        </m:r>
                      </m:sub>
                    </m:sSub>
                    <m:r>
                      <a:rPr lang="es-ES" sz="1100" i="1">
                        <a:solidFill>
                          <a:schemeClr val="tx1"/>
                        </a:solidFill>
                        <a:effectLst/>
                        <a:latin typeface="Cambria Math" panose="02040503050406030204" pitchFamily="18" charset="0"/>
                        <a:ea typeface="+mn-ea"/>
                        <a:cs typeface="+mn-cs"/>
                      </a:rPr>
                      <m:t>∙</m:t>
                    </m:r>
                    <m:f>
                      <m:fPr>
                        <m:ctrlPr>
                          <a:rPr lang="es-CL" sz="1100" i="1">
                            <a:solidFill>
                              <a:schemeClr val="tx1"/>
                            </a:solidFill>
                            <a:effectLst/>
                            <a:latin typeface="Cambria Math" panose="02040503050406030204" pitchFamily="18" charset="0"/>
                            <a:ea typeface="+mn-ea"/>
                            <a:cs typeface="+mn-cs"/>
                          </a:rPr>
                        </m:ctrlPr>
                      </m:fPr>
                      <m:num>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𝐹</m:t>
                            </m:r>
                          </m:e>
                          <m:sub>
                            <m:r>
                              <a:rPr lang="es-ES" sz="1100" i="1">
                                <a:solidFill>
                                  <a:schemeClr val="tx1"/>
                                </a:solidFill>
                                <a:effectLst/>
                                <a:latin typeface="Cambria Math" panose="02040503050406030204" pitchFamily="18" charset="0"/>
                                <a:ea typeface="+mn-ea"/>
                                <a:cs typeface="+mn-cs"/>
                              </a:rPr>
                              <m:t>𝑝𝑟𝑜𝑡𝑒𝑖𝑛𝑎</m:t>
                            </m:r>
                          </m:sub>
                        </m:sSub>
                      </m:num>
                      <m:den>
                        <m:r>
                          <a:rPr lang="es-ES" sz="1100" i="1">
                            <a:solidFill>
                              <a:schemeClr val="tx1"/>
                            </a:solidFill>
                            <a:effectLst/>
                            <a:latin typeface="Cambria Math" panose="02040503050406030204" pitchFamily="18" charset="0"/>
                            <a:ea typeface="+mn-ea"/>
                            <a:cs typeface="+mn-cs"/>
                          </a:rPr>
                          <m:t>𝑃</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𝑀</m:t>
                            </m:r>
                          </m:e>
                          <m:sub>
                            <m:r>
                              <a:rPr lang="es-ES" sz="1100" i="1">
                                <a:solidFill>
                                  <a:schemeClr val="tx1"/>
                                </a:solidFill>
                                <a:effectLst/>
                                <a:latin typeface="Cambria Math" panose="02040503050406030204" pitchFamily="18" charset="0"/>
                                <a:ea typeface="+mn-ea"/>
                                <a:cs typeface="+mn-cs"/>
                              </a:rPr>
                              <m:t>𝑐</m:t>
                            </m:r>
                          </m:sub>
                        </m:sSub>
                      </m:den>
                    </m:f>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8" name="CuadroTexto 7">
              <a:extLst>
                <a:ext uri="{FF2B5EF4-FFF2-40B4-BE49-F238E27FC236}">
                  <a16:creationId xmlns:a16="http://schemas.microsoft.com/office/drawing/2014/main" id="{26017A6A-F975-4705-9734-E15721817294}"/>
                </a:ext>
              </a:extLst>
            </xdr:cNvPr>
            <xdr:cNvSpPr txBox="1"/>
          </xdr:nvSpPr>
          <xdr:spPr>
            <a:xfrm>
              <a:off x="8486775" y="12282487"/>
              <a:ext cx="1224694" cy="5240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solidFill>
                    <a:schemeClr val="tx1"/>
                  </a:solidFill>
                  <a:effectLst/>
                  <a:latin typeface="+mn-lt"/>
                  <a:ea typeface="+mn-ea"/>
                  <a:cs typeface="+mn-cs"/>
                </a:rPr>
                <a:t>𝑛</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𝑐=%</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𝑐∙𝐹</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𝑝𝑟𝑜𝑡𝑒𝑖𝑛𝑎</a:t>
              </a:r>
              <a:r>
                <a:rPr lang="es-CL" sz="1100" i="0">
                  <a:solidFill>
                    <a:schemeClr val="tx1"/>
                  </a:solidFill>
                  <a:effectLst/>
                  <a:latin typeface="+mn-lt"/>
                  <a:ea typeface="+mn-ea"/>
                  <a:cs typeface="+mn-cs"/>
                </a:rPr>
                <a:t>/(</a:t>
              </a:r>
              <a:r>
                <a:rPr lang="es-ES" sz="1100" i="0">
                  <a:solidFill>
                    <a:schemeClr val="tx1"/>
                  </a:solidFill>
                  <a:effectLst/>
                  <a:latin typeface="+mn-lt"/>
                  <a:ea typeface="+mn-ea"/>
                  <a:cs typeface="+mn-cs"/>
                </a:rPr>
                <a:t>𝑃𝑀</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𝑐 </a:t>
              </a:r>
              <a:r>
                <a:rPr lang="es-CL" sz="1100" i="0">
                  <a:solidFill>
                    <a:schemeClr val="tx1"/>
                  </a:solidFill>
                  <a:effectLst/>
                  <a:latin typeface="+mn-lt"/>
                  <a:ea typeface="+mn-ea"/>
                  <a:cs typeface="+mn-cs"/>
                </a:rPr>
                <a:t>)</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1990725</xdr:colOff>
      <xdr:row>53</xdr:row>
      <xdr:rowOff>33337</xdr:rowOff>
    </xdr:from>
    <xdr:ext cx="1224694" cy="524054"/>
    <mc:AlternateContent xmlns:mc="http://schemas.openxmlformats.org/markup-compatibility/2006" xmlns:a14="http://schemas.microsoft.com/office/drawing/2010/main">
      <mc:Choice Requires="a14">
        <xdr:sp macro="" textlink="">
          <xdr:nvSpPr>
            <xdr:cNvPr id="9" name="CuadroTexto 8">
              <a:extLst>
                <a:ext uri="{FF2B5EF4-FFF2-40B4-BE49-F238E27FC236}">
                  <a16:creationId xmlns:a16="http://schemas.microsoft.com/office/drawing/2014/main" id="{4215D720-D3B9-4FF5-AEB6-595701397C56}"/>
                </a:ext>
              </a:extLst>
            </xdr:cNvPr>
            <xdr:cNvSpPr txBox="1"/>
          </xdr:nvSpPr>
          <xdr:spPr>
            <a:xfrm>
              <a:off x="8486775" y="12825412"/>
              <a:ext cx="1224694" cy="5240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𝐻</m:t>
                        </m:r>
                      </m:sub>
                    </m:sSub>
                    <m:r>
                      <a:rPr lang="es-ES" sz="110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ES" sz="1100" i="1">
                            <a:solidFill>
                              <a:schemeClr val="tx1"/>
                            </a:solidFill>
                            <a:effectLst/>
                            <a:latin typeface="Cambria Math" panose="02040503050406030204" pitchFamily="18" charset="0"/>
                            <a:ea typeface="+mn-ea"/>
                            <a:cs typeface="+mn-cs"/>
                          </a:rPr>
                          <m:t>𝑐</m:t>
                        </m:r>
                      </m:sub>
                    </m:sSub>
                    <m:r>
                      <a:rPr lang="es-ES" sz="1100" i="1">
                        <a:solidFill>
                          <a:schemeClr val="tx1"/>
                        </a:solidFill>
                        <a:effectLst/>
                        <a:latin typeface="Cambria Math" panose="02040503050406030204" pitchFamily="18" charset="0"/>
                        <a:ea typeface="+mn-ea"/>
                        <a:cs typeface="+mn-cs"/>
                      </a:rPr>
                      <m:t>∙</m:t>
                    </m:r>
                    <m:f>
                      <m:fPr>
                        <m:ctrlPr>
                          <a:rPr lang="es-CL" sz="1100" i="1">
                            <a:solidFill>
                              <a:schemeClr val="tx1"/>
                            </a:solidFill>
                            <a:effectLst/>
                            <a:latin typeface="Cambria Math" panose="02040503050406030204" pitchFamily="18" charset="0"/>
                            <a:ea typeface="+mn-ea"/>
                            <a:cs typeface="+mn-cs"/>
                          </a:rPr>
                        </m:ctrlPr>
                      </m:fPr>
                      <m:num>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𝐹</m:t>
                            </m:r>
                          </m:e>
                          <m:sub>
                            <m:r>
                              <a:rPr lang="es-ES" sz="1100" i="1">
                                <a:solidFill>
                                  <a:schemeClr val="tx1"/>
                                </a:solidFill>
                                <a:effectLst/>
                                <a:latin typeface="Cambria Math" panose="02040503050406030204" pitchFamily="18" charset="0"/>
                                <a:ea typeface="+mn-ea"/>
                                <a:cs typeface="+mn-cs"/>
                              </a:rPr>
                              <m:t>𝑝𝑟𝑜𝑡𝑒𝑖𝑛𝑎</m:t>
                            </m:r>
                          </m:sub>
                        </m:sSub>
                      </m:num>
                      <m:den>
                        <m:r>
                          <a:rPr lang="es-ES" sz="1100" i="1">
                            <a:solidFill>
                              <a:schemeClr val="tx1"/>
                            </a:solidFill>
                            <a:effectLst/>
                            <a:latin typeface="Cambria Math" panose="02040503050406030204" pitchFamily="18" charset="0"/>
                            <a:ea typeface="+mn-ea"/>
                            <a:cs typeface="+mn-cs"/>
                          </a:rPr>
                          <m:t>𝑃</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𝑀</m:t>
                            </m:r>
                          </m:e>
                          <m:sub>
                            <m:r>
                              <a:rPr lang="es-CL" sz="1100" b="0" i="1">
                                <a:solidFill>
                                  <a:schemeClr val="tx1"/>
                                </a:solidFill>
                                <a:effectLst/>
                                <a:latin typeface="Cambria Math" panose="02040503050406030204" pitchFamily="18" charset="0"/>
                                <a:ea typeface="+mn-ea"/>
                                <a:cs typeface="+mn-cs"/>
                              </a:rPr>
                              <m:t>𝐻</m:t>
                            </m:r>
                          </m:sub>
                        </m:sSub>
                      </m:den>
                    </m:f>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9" name="CuadroTexto 8">
              <a:extLst>
                <a:ext uri="{FF2B5EF4-FFF2-40B4-BE49-F238E27FC236}">
                  <a16:creationId xmlns:a16="http://schemas.microsoft.com/office/drawing/2014/main" id="{4215D720-D3B9-4FF5-AEB6-595701397C56}"/>
                </a:ext>
              </a:extLst>
            </xdr:cNvPr>
            <xdr:cNvSpPr txBox="1"/>
          </xdr:nvSpPr>
          <xdr:spPr>
            <a:xfrm>
              <a:off x="8486775" y="12825412"/>
              <a:ext cx="1224694" cy="5240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solidFill>
                    <a:schemeClr val="tx1"/>
                  </a:solidFill>
                  <a:effectLst/>
                  <a:latin typeface="+mn-lt"/>
                  <a:ea typeface="+mn-ea"/>
                  <a:cs typeface="+mn-cs"/>
                </a:rPr>
                <a:t>𝑛</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𝐻</a:t>
              </a:r>
              <a:r>
                <a:rPr lang="es-ES" sz="1100" i="0">
                  <a:solidFill>
                    <a:schemeClr val="tx1"/>
                  </a:solidFill>
                  <a:effectLst/>
                  <a:latin typeface="+mn-lt"/>
                  <a:ea typeface="+mn-ea"/>
                  <a:cs typeface="+mn-cs"/>
                </a:rPr>
                <a:t>=%</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𝑐∙𝐹</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𝑝𝑟𝑜𝑡𝑒𝑖𝑛𝑎</a:t>
              </a:r>
              <a:r>
                <a:rPr lang="es-CL" sz="1100" i="0">
                  <a:solidFill>
                    <a:schemeClr val="tx1"/>
                  </a:solidFill>
                  <a:effectLst/>
                  <a:latin typeface="+mn-lt"/>
                  <a:ea typeface="+mn-ea"/>
                  <a:cs typeface="+mn-cs"/>
                </a:rPr>
                <a:t>/(</a:t>
              </a:r>
              <a:r>
                <a:rPr lang="es-ES" sz="1100" i="0">
                  <a:solidFill>
                    <a:schemeClr val="tx1"/>
                  </a:solidFill>
                  <a:effectLst/>
                  <a:latin typeface="+mn-lt"/>
                  <a:ea typeface="+mn-ea"/>
                  <a:cs typeface="+mn-cs"/>
                </a:rPr>
                <a:t>𝑃𝑀</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𝐻</a:t>
              </a:r>
              <a:r>
                <a:rPr lang="es-ES" sz="1100" b="0" i="0">
                  <a:solidFill>
                    <a:schemeClr val="tx1"/>
                  </a:solidFill>
                  <a:effectLst/>
                  <a:latin typeface="+mn-lt"/>
                  <a:ea typeface="+mn-ea"/>
                  <a:cs typeface="+mn-cs"/>
                </a:rPr>
                <a:t> </a:t>
              </a:r>
              <a:r>
                <a:rPr lang="es-CL" sz="1100" b="0" i="0">
                  <a:solidFill>
                    <a:schemeClr val="tx1"/>
                  </a:solidFill>
                  <a:effectLst/>
                  <a:latin typeface="+mn-lt"/>
                  <a:ea typeface="+mn-ea"/>
                  <a:cs typeface="+mn-cs"/>
                </a:rPr>
                <a:t>)</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2028825</xdr:colOff>
      <xdr:row>54</xdr:row>
      <xdr:rowOff>33337</xdr:rowOff>
    </xdr:from>
    <xdr:ext cx="1181542" cy="523157"/>
    <mc:AlternateContent xmlns:mc="http://schemas.openxmlformats.org/markup-compatibility/2006" xmlns:a14="http://schemas.microsoft.com/office/drawing/2010/main">
      <mc:Choice Requires="a14">
        <xdr:sp macro="" textlink="">
          <xdr:nvSpPr>
            <xdr:cNvPr id="10" name="CuadroTexto 9">
              <a:extLst>
                <a:ext uri="{FF2B5EF4-FFF2-40B4-BE49-F238E27FC236}">
                  <a16:creationId xmlns:a16="http://schemas.microsoft.com/office/drawing/2014/main" id="{8E5B1429-090F-43DE-B4E1-FA85FAD65EE5}"/>
                </a:ext>
              </a:extLst>
            </xdr:cNvPr>
            <xdr:cNvSpPr txBox="1"/>
          </xdr:nvSpPr>
          <xdr:spPr>
            <a:xfrm>
              <a:off x="8524875" y="13292137"/>
              <a:ext cx="1181542" cy="5231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𝑜</m:t>
                        </m:r>
                      </m:sub>
                    </m:sSub>
                    <m:r>
                      <a:rPr lang="es-CL" sz="1100" b="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CL" sz="1100" b="0" i="1">
                            <a:solidFill>
                              <a:schemeClr val="tx1"/>
                            </a:solidFill>
                            <a:effectLst/>
                            <a:latin typeface="Cambria Math" panose="02040503050406030204" pitchFamily="18" charset="0"/>
                            <a:ea typeface="+mn-ea"/>
                            <a:cs typeface="+mn-cs"/>
                          </a:rPr>
                          <m:t>𝑂</m:t>
                        </m:r>
                      </m:sub>
                    </m:sSub>
                    <m:r>
                      <a:rPr lang="es-ES" sz="1100" i="1">
                        <a:solidFill>
                          <a:schemeClr val="tx1"/>
                        </a:solidFill>
                        <a:effectLst/>
                        <a:latin typeface="Cambria Math" panose="02040503050406030204" pitchFamily="18" charset="0"/>
                        <a:ea typeface="+mn-ea"/>
                        <a:cs typeface="+mn-cs"/>
                      </a:rPr>
                      <m:t>∙</m:t>
                    </m:r>
                    <m:f>
                      <m:fPr>
                        <m:ctrlPr>
                          <a:rPr lang="es-CL" sz="1100" i="1">
                            <a:solidFill>
                              <a:schemeClr val="tx1"/>
                            </a:solidFill>
                            <a:effectLst/>
                            <a:latin typeface="Cambria Math" panose="02040503050406030204" pitchFamily="18" charset="0"/>
                            <a:ea typeface="+mn-ea"/>
                            <a:cs typeface="+mn-cs"/>
                          </a:rPr>
                        </m:ctrlPr>
                      </m:fPr>
                      <m:num>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𝐹</m:t>
                            </m:r>
                          </m:e>
                          <m:sub>
                            <m:r>
                              <a:rPr lang="es-ES" sz="1100" i="1">
                                <a:solidFill>
                                  <a:schemeClr val="tx1"/>
                                </a:solidFill>
                                <a:effectLst/>
                                <a:latin typeface="Cambria Math" panose="02040503050406030204" pitchFamily="18" charset="0"/>
                                <a:ea typeface="+mn-ea"/>
                                <a:cs typeface="+mn-cs"/>
                              </a:rPr>
                              <m:t>𝑝𝑟𝑜𝑡𝑒𝑖𝑛𝑎</m:t>
                            </m:r>
                          </m:sub>
                        </m:sSub>
                      </m:num>
                      <m:den>
                        <m:r>
                          <a:rPr lang="es-ES" sz="1100" i="1">
                            <a:solidFill>
                              <a:schemeClr val="tx1"/>
                            </a:solidFill>
                            <a:effectLst/>
                            <a:latin typeface="Cambria Math" panose="02040503050406030204" pitchFamily="18" charset="0"/>
                            <a:ea typeface="+mn-ea"/>
                            <a:cs typeface="+mn-cs"/>
                          </a:rPr>
                          <m:t>𝑃</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𝑀</m:t>
                            </m:r>
                          </m:e>
                          <m:sub>
                            <m:r>
                              <a:rPr lang="es-CL" sz="1100" b="0" i="1">
                                <a:solidFill>
                                  <a:schemeClr val="tx1"/>
                                </a:solidFill>
                                <a:effectLst/>
                                <a:latin typeface="Cambria Math" panose="02040503050406030204" pitchFamily="18" charset="0"/>
                                <a:ea typeface="+mn-ea"/>
                                <a:cs typeface="+mn-cs"/>
                              </a:rPr>
                              <m:t>𝑂</m:t>
                            </m:r>
                          </m:sub>
                        </m:sSub>
                      </m:den>
                    </m:f>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0" name="CuadroTexto 9">
              <a:extLst>
                <a:ext uri="{FF2B5EF4-FFF2-40B4-BE49-F238E27FC236}">
                  <a16:creationId xmlns:a16="http://schemas.microsoft.com/office/drawing/2014/main" id="{8E5B1429-090F-43DE-B4E1-FA85FAD65EE5}"/>
                </a:ext>
              </a:extLst>
            </xdr:cNvPr>
            <xdr:cNvSpPr txBox="1"/>
          </xdr:nvSpPr>
          <xdr:spPr>
            <a:xfrm>
              <a:off x="8524875" y="13292137"/>
              <a:ext cx="1181542" cy="5231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solidFill>
                    <a:schemeClr val="tx1"/>
                  </a:solidFill>
                  <a:effectLst/>
                  <a:latin typeface="+mn-lt"/>
                  <a:ea typeface="+mn-ea"/>
                  <a:cs typeface="+mn-cs"/>
                </a:rPr>
                <a:t>𝑛</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𝑜=</a:t>
              </a:r>
              <a:r>
                <a:rPr lang="es-ES" sz="1100" i="0">
                  <a:solidFill>
                    <a:schemeClr val="tx1"/>
                  </a:solidFill>
                  <a:effectLst/>
                  <a:latin typeface="+mn-lt"/>
                  <a:ea typeface="+mn-ea"/>
                  <a:cs typeface="+mn-cs"/>
                </a:rPr>
                <a:t>%</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𝑂</a:t>
              </a:r>
              <a:r>
                <a:rPr lang="es-ES" sz="1100" i="0">
                  <a:solidFill>
                    <a:schemeClr val="tx1"/>
                  </a:solidFill>
                  <a:effectLst/>
                  <a:latin typeface="+mn-lt"/>
                  <a:ea typeface="+mn-ea"/>
                  <a:cs typeface="+mn-cs"/>
                </a:rPr>
                <a:t>∙𝐹</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𝑝𝑟𝑜𝑡𝑒𝑖𝑛𝑎</a:t>
              </a:r>
              <a:r>
                <a:rPr lang="es-CL" sz="1100" i="0">
                  <a:solidFill>
                    <a:schemeClr val="tx1"/>
                  </a:solidFill>
                  <a:effectLst/>
                  <a:latin typeface="+mn-lt"/>
                  <a:ea typeface="+mn-ea"/>
                  <a:cs typeface="+mn-cs"/>
                </a:rPr>
                <a:t>/(</a:t>
              </a:r>
              <a:r>
                <a:rPr lang="es-ES" sz="1100" i="0">
                  <a:solidFill>
                    <a:schemeClr val="tx1"/>
                  </a:solidFill>
                  <a:effectLst/>
                  <a:latin typeface="+mn-lt"/>
                  <a:ea typeface="+mn-ea"/>
                  <a:cs typeface="+mn-cs"/>
                </a:rPr>
                <a:t>𝑃𝑀</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𝑂</a:t>
              </a:r>
              <a:r>
                <a:rPr lang="es-ES" sz="1100" b="0" i="0">
                  <a:solidFill>
                    <a:schemeClr val="tx1"/>
                  </a:solidFill>
                  <a:effectLst/>
                  <a:latin typeface="+mn-lt"/>
                  <a:ea typeface="+mn-ea"/>
                  <a:cs typeface="+mn-cs"/>
                </a:rPr>
                <a:t> </a:t>
              </a:r>
              <a:r>
                <a:rPr lang="es-CL" sz="1100" b="0" i="0">
                  <a:solidFill>
                    <a:schemeClr val="tx1"/>
                  </a:solidFill>
                  <a:effectLst/>
                  <a:latin typeface="+mn-lt"/>
                  <a:ea typeface="+mn-ea"/>
                  <a:cs typeface="+mn-cs"/>
                </a:rPr>
                <a:t>)</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2047875</xdr:colOff>
      <xdr:row>55</xdr:row>
      <xdr:rowOff>61912</xdr:rowOff>
    </xdr:from>
    <xdr:ext cx="1203215" cy="524246"/>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BEA85AAC-ED67-4240-961F-F66DA4EBBA22}"/>
                </a:ext>
              </a:extLst>
            </xdr:cNvPr>
            <xdr:cNvSpPr txBox="1"/>
          </xdr:nvSpPr>
          <xdr:spPr>
            <a:xfrm>
              <a:off x="8543925" y="13787437"/>
              <a:ext cx="1203215" cy="524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𝑁</m:t>
                        </m:r>
                      </m:sub>
                    </m:sSub>
                    <m:r>
                      <a:rPr lang="es-CL" sz="1100" b="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CL" sz="1100" b="0" i="1">
                            <a:solidFill>
                              <a:schemeClr val="tx1"/>
                            </a:solidFill>
                            <a:effectLst/>
                            <a:latin typeface="Cambria Math" panose="02040503050406030204" pitchFamily="18" charset="0"/>
                            <a:ea typeface="+mn-ea"/>
                            <a:cs typeface="+mn-cs"/>
                          </a:rPr>
                          <m:t>𝑂</m:t>
                        </m:r>
                      </m:sub>
                    </m:sSub>
                    <m:r>
                      <a:rPr lang="es-ES" sz="1100" i="1">
                        <a:solidFill>
                          <a:schemeClr val="tx1"/>
                        </a:solidFill>
                        <a:effectLst/>
                        <a:latin typeface="Cambria Math" panose="02040503050406030204" pitchFamily="18" charset="0"/>
                        <a:ea typeface="+mn-ea"/>
                        <a:cs typeface="+mn-cs"/>
                      </a:rPr>
                      <m:t>∙</m:t>
                    </m:r>
                    <m:f>
                      <m:fPr>
                        <m:ctrlPr>
                          <a:rPr lang="es-CL" sz="1100" i="1">
                            <a:solidFill>
                              <a:schemeClr val="tx1"/>
                            </a:solidFill>
                            <a:effectLst/>
                            <a:latin typeface="Cambria Math" panose="02040503050406030204" pitchFamily="18" charset="0"/>
                            <a:ea typeface="+mn-ea"/>
                            <a:cs typeface="+mn-cs"/>
                          </a:rPr>
                        </m:ctrlPr>
                      </m:fPr>
                      <m:num>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𝐹</m:t>
                            </m:r>
                          </m:e>
                          <m:sub>
                            <m:r>
                              <a:rPr lang="es-ES" sz="1100" i="1">
                                <a:solidFill>
                                  <a:schemeClr val="tx1"/>
                                </a:solidFill>
                                <a:effectLst/>
                                <a:latin typeface="Cambria Math" panose="02040503050406030204" pitchFamily="18" charset="0"/>
                                <a:ea typeface="+mn-ea"/>
                                <a:cs typeface="+mn-cs"/>
                              </a:rPr>
                              <m:t>𝑝𝑟𝑜𝑡𝑒𝑖𝑛𝑎</m:t>
                            </m:r>
                          </m:sub>
                        </m:sSub>
                      </m:num>
                      <m:den>
                        <m:r>
                          <a:rPr lang="es-ES" sz="1100" i="1">
                            <a:solidFill>
                              <a:schemeClr val="tx1"/>
                            </a:solidFill>
                            <a:effectLst/>
                            <a:latin typeface="Cambria Math" panose="02040503050406030204" pitchFamily="18" charset="0"/>
                            <a:ea typeface="+mn-ea"/>
                            <a:cs typeface="+mn-cs"/>
                          </a:rPr>
                          <m:t>𝑃</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𝑀</m:t>
                            </m:r>
                          </m:e>
                          <m:sub>
                            <m:r>
                              <a:rPr lang="es-CL" sz="1100" b="0" i="1">
                                <a:solidFill>
                                  <a:schemeClr val="tx1"/>
                                </a:solidFill>
                                <a:effectLst/>
                                <a:latin typeface="Cambria Math" panose="02040503050406030204" pitchFamily="18" charset="0"/>
                                <a:ea typeface="+mn-ea"/>
                                <a:cs typeface="+mn-cs"/>
                              </a:rPr>
                              <m:t>𝑁</m:t>
                            </m:r>
                          </m:sub>
                        </m:sSub>
                      </m:den>
                    </m:f>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1" name="CuadroTexto 10">
              <a:extLst>
                <a:ext uri="{FF2B5EF4-FFF2-40B4-BE49-F238E27FC236}">
                  <a16:creationId xmlns:a16="http://schemas.microsoft.com/office/drawing/2014/main" id="{BEA85AAC-ED67-4240-961F-F66DA4EBBA22}"/>
                </a:ext>
              </a:extLst>
            </xdr:cNvPr>
            <xdr:cNvSpPr txBox="1"/>
          </xdr:nvSpPr>
          <xdr:spPr>
            <a:xfrm>
              <a:off x="8543925" y="13787437"/>
              <a:ext cx="1203215" cy="5242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solidFill>
                    <a:schemeClr val="tx1"/>
                  </a:solidFill>
                  <a:effectLst/>
                  <a:latin typeface="+mn-lt"/>
                  <a:ea typeface="+mn-ea"/>
                  <a:cs typeface="+mn-cs"/>
                </a:rPr>
                <a:t>𝑛</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𝑁=</a:t>
              </a:r>
              <a:r>
                <a:rPr lang="es-ES" sz="1100" i="0">
                  <a:solidFill>
                    <a:schemeClr val="tx1"/>
                  </a:solidFill>
                  <a:effectLst/>
                  <a:latin typeface="+mn-lt"/>
                  <a:ea typeface="+mn-ea"/>
                  <a:cs typeface="+mn-cs"/>
                </a:rPr>
                <a:t>%</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𝑂</a:t>
              </a:r>
              <a:r>
                <a:rPr lang="es-ES" sz="1100" i="0">
                  <a:solidFill>
                    <a:schemeClr val="tx1"/>
                  </a:solidFill>
                  <a:effectLst/>
                  <a:latin typeface="+mn-lt"/>
                  <a:ea typeface="+mn-ea"/>
                  <a:cs typeface="+mn-cs"/>
                </a:rPr>
                <a:t>∙𝐹</a:t>
              </a:r>
              <a:r>
                <a:rPr lang="es-CL" sz="1100" i="0">
                  <a:solidFill>
                    <a:schemeClr val="tx1"/>
                  </a:solidFill>
                  <a:effectLst/>
                  <a:latin typeface="+mn-lt"/>
                  <a:ea typeface="+mn-ea"/>
                  <a:cs typeface="+mn-cs"/>
                </a:rPr>
                <a:t>_</a:t>
              </a:r>
              <a:r>
                <a:rPr lang="es-ES" sz="1100" i="0">
                  <a:solidFill>
                    <a:schemeClr val="tx1"/>
                  </a:solidFill>
                  <a:effectLst/>
                  <a:latin typeface="+mn-lt"/>
                  <a:ea typeface="+mn-ea"/>
                  <a:cs typeface="+mn-cs"/>
                </a:rPr>
                <a:t>𝑝𝑟𝑜𝑡𝑒𝑖𝑛𝑎</a:t>
              </a:r>
              <a:r>
                <a:rPr lang="es-CL" sz="1100" i="0">
                  <a:solidFill>
                    <a:schemeClr val="tx1"/>
                  </a:solidFill>
                  <a:effectLst/>
                  <a:latin typeface="+mn-lt"/>
                  <a:ea typeface="+mn-ea"/>
                  <a:cs typeface="+mn-cs"/>
                </a:rPr>
                <a:t>/(</a:t>
              </a:r>
              <a:r>
                <a:rPr lang="es-ES" sz="1100" i="0">
                  <a:solidFill>
                    <a:schemeClr val="tx1"/>
                  </a:solidFill>
                  <a:effectLst/>
                  <a:latin typeface="+mn-lt"/>
                  <a:ea typeface="+mn-ea"/>
                  <a:cs typeface="+mn-cs"/>
                </a:rPr>
                <a:t>𝑃𝑀</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𝑁</a:t>
              </a:r>
              <a:r>
                <a:rPr lang="es-ES" sz="1100" b="0" i="0">
                  <a:solidFill>
                    <a:schemeClr val="tx1"/>
                  </a:solidFill>
                  <a:effectLst/>
                  <a:latin typeface="+mn-lt"/>
                  <a:ea typeface="+mn-ea"/>
                  <a:cs typeface="+mn-cs"/>
                </a:rPr>
                <a:t> </a:t>
              </a:r>
              <a:r>
                <a:rPr lang="es-CL" sz="1100" b="0" i="0">
                  <a:solidFill>
                    <a:schemeClr val="tx1"/>
                  </a:solidFill>
                  <a:effectLst/>
                  <a:latin typeface="+mn-lt"/>
                  <a:ea typeface="+mn-ea"/>
                  <a:cs typeface="+mn-cs"/>
                </a:rPr>
                <a:t>)</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1971675</xdr:colOff>
      <xdr:row>51</xdr:row>
      <xdr:rowOff>95250</xdr:rowOff>
    </xdr:from>
    <xdr:ext cx="1257139" cy="354841"/>
    <mc:AlternateContent xmlns:mc="http://schemas.openxmlformats.org/markup-compatibility/2006" xmlns:a14="http://schemas.microsoft.com/office/drawing/2010/main">
      <mc:Choice Requires="a14">
        <xdr:sp macro="" textlink="">
          <xdr:nvSpPr>
            <xdr:cNvPr id="12" name="CuadroTexto 11">
              <a:extLst>
                <a:ext uri="{FF2B5EF4-FFF2-40B4-BE49-F238E27FC236}">
                  <a16:creationId xmlns:a16="http://schemas.microsoft.com/office/drawing/2014/main" id="{10F1739B-42FC-4008-9DF5-514A4F55B5E9}"/>
                </a:ext>
              </a:extLst>
            </xdr:cNvPr>
            <xdr:cNvSpPr txBox="1"/>
          </xdr:nvSpPr>
          <xdr:spPr>
            <a:xfrm>
              <a:off x="8467725" y="12077700"/>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𝑁</m:t>
                        </m:r>
                      </m:sub>
                    </m:sSub>
                    <m:r>
                      <a:rPr lang="es-ES" sz="110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CL" sz="1100" b="0" i="1">
                            <a:solidFill>
                              <a:schemeClr val="tx1"/>
                            </a:solidFill>
                            <a:effectLst/>
                            <a:latin typeface="Cambria Math" panose="02040503050406030204" pitchFamily="18" charset="0"/>
                            <a:ea typeface="+mn-ea"/>
                            <a:cs typeface="+mn-cs"/>
                          </a:rPr>
                          <m:t>𝑁</m:t>
                        </m:r>
                      </m:sub>
                    </m:sSub>
                    <m:r>
                      <a:rPr lang="es-ES" sz="110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𝑝𝑟𝑜𝑡𝑒</m:t>
                        </m:r>
                        <m:r>
                          <a:rPr lang="es-CL" sz="1100" b="0" i="1">
                            <a:solidFill>
                              <a:schemeClr val="tx1"/>
                            </a:solidFill>
                            <a:effectLst/>
                            <a:latin typeface="Cambria Math" panose="02040503050406030204" pitchFamily="18" charset="0"/>
                            <a:ea typeface="+mn-ea"/>
                            <a:cs typeface="+mn-cs"/>
                          </a:rPr>
                          <m:t>í</m:t>
                        </m:r>
                        <m:r>
                          <a:rPr lang="es-CL" sz="1100" b="0" i="1">
                            <a:solidFill>
                              <a:schemeClr val="tx1"/>
                            </a:solidFill>
                            <a:effectLst/>
                            <a:latin typeface="Cambria Math" panose="02040503050406030204" pitchFamily="18" charset="0"/>
                            <a:ea typeface="+mn-ea"/>
                            <a:cs typeface="+mn-cs"/>
                          </a:rPr>
                          <m:t>𝑛𝑎</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2" name="CuadroTexto 11">
              <a:extLst>
                <a:ext uri="{FF2B5EF4-FFF2-40B4-BE49-F238E27FC236}">
                  <a16:creationId xmlns:a16="http://schemas.microsoft.com/office/drawing/2014/main" id="{10F1739B-42FC-4008-9DF5-514A4F55B5E9}"/>
                </a:ext>
              </a:extLst>
            </xdr:cNvPr>
            <xdr:cNvSpPr txBox="1"/>
          </xdr:nvSpPr>
          <xdr:spPr>
            <a:xfrm>
              <a:off x="8467725" y="12077700"/>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𝑁</a:t>
              </a:r>
              <a:r>
                <a:rPr lang="es-ES" sz="1100" i="0">
                  <a:solidFill>
                    <a:schemeClr val="tx1"/>
                  </a:solidFill>
                  <a:effectLst/>
                  <a:latin typeface="+mn-lt"/>
                  <a:ea typeface="+mn-ea"/>
                  <a:cs typeface="+mn-cs"/>
                </a:rPr>
                <a:t>=%</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𝑁</a:t>
              </a:r>
              <a:r>
                <a:rPr lang="es-ES" sz="1100" i="0">
                  <a:solidFill>
                    <a:schemeClr val="tx1"/>
                  </a:solidFill>
                  <a:effectLst/>
                  <a:latin typeface="+mn-lt"/>
                  <a:ea typeface="+mn-ea"/>
                  <a:cs typeface="+mn-cs"/>
                </a:rPr>
                <a:t>∙</a:t>
              </a:r>
              <a:r>
                <a:rPr lang="es-CL" sz="1100" b="0" i="0">
                  <a:solidFill>
                    <a:schemeClr val="tx1"/>
                  </a:solidFill>
                  <a:effectLst/>
                  <a:latin typeface="Cambria Math" panose="02040503050406030204" pitchFamily="18" charset="0"/>
                  <a:ea typeface="+mn-ea"/>
                  <a:cs typeface="+mn-cs"/>
                </a:rPr>
                <a:t>𝐹_𝑝𝑟𝑜𝑡𝑒í𝑛𝑎</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95250</xdr:colOff>
      <xdr:row>51</xdr:row>
      <xdr:rowOff>104775</xdr:rowOff>
    </xdr:from>
    <xdr:ext cx="522900" cy="344453"/>
    <mc:AlternateContent xmlns:mc="http://schemas.openxmlformats.org/markup-compatibility/2006" xmlns:a14="http://schemas.microsoft.com/office/drawing/2010/main">
      <mc:Choice Requires="a14">
        <xdr:sp macro="" textlink="">
          <xdr:nvSpPr>
            <xdr:cNvPr id="13" name="CuadroTexto 12">
              <a:extLst>
                <a:ext uri="{FF2B5EF4-FFF2-40B4-BE49-F238E27FC236}">
                  <a16:creationId xmlns:a16="http://schemas.microsoft.com/office/drawing/2014/main" id="{79A7C9E2-3852-48F2-B4C9-57191FC3925B}"/>
                </a:ext>
              </a:extLst>
            </xdr:cNvPr>
            <xdr:cNvSpPr txBox="1"/>
          </xdr:nvSpPr>
          <xdr:spPr>
            <a:xfrm>
              <a:off x="3714750" y="12087225"/>
              <a:ext cx="522900"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𝑁</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3" name="CuadroTexto 12">
              <a:extLst>
                <a:ext uri="{FF2B5EF4-FFF2-40B4-BE49-F238E27FC236}">
                  <a16:creationId xmlns:a16="http://schemas.microsoft.com/office/drawing/2014/main" id="{79A7C9E2-3852-48F2-B4C9-57191FC3925B}"/>
                </a:ext>
              </a:extLst>
            </xdr:cNvPr>
            <xdr:cNvSpPr txBox="1"/>
          </xdr:nvSpPr>
          <xdr:spPr>
            <a:xfrm>
              <a:off x="3714750" y="12087225"/>
              <a:ext cx="522900"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𝑁</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209550</xdr:colOff>
      <xdr:row>50</xdr:row>
      <xdr:rowOff>9525</xdr:rowOff>
    </xdr:from>
    <xdr:ext cx="318933" cy="344453"/>
    <mc:AlternateContent xmlns:mc="http://schemas.openxmlformats.org/markup-compatibility/2006" xmlns:a14="http://schemas.microsoft.com/office/drawing/2010/main">
      <mc:Choice Requires="a14">
        <xdr:sp macro="" textlink="">
          <xdr:nvSpPr>
            <xdr:cNvPr id="14" name="CuadroTexto 13">
              <a:extLst>
                <a:ext uri="{FF2B5EF4-FFF2-40B4-BE49-F238E27FC236}">
                  <a16:creationId xmlns:a16="http://schemas.microsoft.com/office/drawing/2014/main" id="{5E3E6640-75D8-46FD-9462-09FBE10A9958}"/>
                </a:ext>
              </a:extLst>
            </xdr:cNvPr>
            <xdr:cNvSpPr txBox="1"/>
          </xdr:nvSpPr>
          <xdr:spPr>
            <a:xfrm>
              <a:off x="3829050" y="11791950"/>
              <a:ext cx="318933"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𝑂</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4" name="CuadroTexto 13">
              <a:extLst>
                <a:ext uri="{FF2B5EF4-FFF2-40B4-BE49-F238E27FC236}">
                  <a16:creationId xmlns:a16="http://schemas.microsoft.com/office/drawing/2014/main" id="{5E3E6640-75D8-46FD-9462-09FBE10A9958}"/>
                </a:ext>
              </a:extLst>
            </xdr:cNvPr>
            <xdr:cNvSpPr txBox="1"/>
          </xdr:nvSpPr>
          <xdr:spPr>
            <a:xfrm>
              <a:off x="3829050" y="11791950"/>
              <a:ext cx="318933"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𝐹_𝑂</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228600</xdr:colOff>
      <xdr:row>49</xdr:row>
      <xdr:rowOff>0</xdr:rowOff>
    </xdr:from>
    <xdr:ext cx="323807" cy="344453"/>
    <mc:AlternateContent xmlns:mc="http://schemas.openxmlformats.org/markup-compatibility/2006" xmlns:a14="http://schemas.microsoft.com/office/drawing/2010/main">
      <mc:Choice Requires="a14">
        <xdr:sp macro="" textlink="">
          <xdr:nvSpPr>
            <xdr:cNvPr id="15" name="CuadroTexto 14">
              <a:extLst>
                <a:ext uri="{FF2B5EF4-FFF2-40B4-BE49-F238E27FC236}">
                  <a16:creationId xmlns:a16="http://schemas.microsoft.com/office/drawing/2014/main" id="{3BB1394C-F83A-47F8-AAED-6BB2730CA695}"/>
                </a:ext>
              </a:extLst>
            </xdr:cNvPr>
            <xdr:cNvSpPr txBox="1"/>
          </xdr:nvSpPr>
          <xdr:spPr>
            <a:xfrm>
              <a:off x="3848100" y="11582400"/>
              <a:ext cx="323807"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𝐻</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5" name="CuadroTexto 14">
              <a:extLst>
                <a:ext uri="{FF2B5EF4-FFF2-40B4-BE49-F238E27FC236}">
                  <a16:creationId xmlns:a16="http://schemas.microsoft.com/office/drawing/2014/main" id="{3BB1394C-F83A-47F8-AAED-6BB2730CA695}"/>
                </a:ext>
              </a:extLst>
            </xdr:cNvPr>
            <xdr:cNvSpPr txBox="1"/>
          </xdr:nvSpPr>
          <xdr:spPr>
            <a:xfrm>
              <a:off x="3848100" y="11582400"/>
              <a:ext cx="323807"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𝐹_𝐻</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247650</xdr:colOff>
      <xdr:row>48</xdr:row>
      <xdr:rowOff>0</xdr:rowOff>
    </xdr:from>
    <xdr:ext cx="249364" cy="344453"/>
    <mc:AlternateContent xmlns:mc="http://schemas.openxmlformats.org/markup-compatibility/2006" xmlns:a14="http://schemas.microsoft.com/office/drawing/2010/main">
      <mc:Choice Requires="a14">
        <xdr:sp macro="" textlink="">
          <xdr:nvSpPr>
            <xdr:cNvPr id="16" name="CuadroTexto 15">
              <a:extLst>
                <a:ext uri="{FF2B5EF4-FFF2-40B4-BE49-F238E27FC236}">
                  <a16:creationId xmlns:a16="http://schemas.microsoft.com/office/drawing/2014/main" id="{22309AA7-A000-4039-9208-15CBEB8FC2CF}"/>
                </a:ext>
              </a:extLst>
            </xdr:cNvPr>
            <xdr:cNvSpPr txBox="1"/>
          </xdr:nvSpPr>
          <xdr:spPr>
            <a:xfrm>
              <a:off x="3867150" y="11382375"/>
              <a:ext cx="249364"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𝐶</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6" name="CuadroTexto 15">
              <a:extLst>
                <a:ext uri="{FF2B5EF4-FFF2-40B4-BE49-F238E27FC236}">
                  <a16:creationId xmlns:a16="http://schemas.microsoft.com/office/drawing/2014/main" id="{22309AA7-A000-4039-9208-15CBEB8FC2CF}"/>
                </a:ext>
              </a:extLst>
            </xdr:cNvPr>
            <xdr:cNvSpPr txBox="1"/>
          </xdr:nvSpPr>
          <xdr:spPr>
            <a:xfrm>
              <a:off x="3867150" y="11382375"/>
              <a:ext cx="249364"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𝐹_𝐶</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1962150</xdr:colOff>
      <xdr:row>50</xdr:row>
      <xdr:rowOff>9525</xdr:rowOff>
    </xdr:from>
    <xdr:ext cx="1257139" cy="354841"/>
    <mc:AlternateContent xmlns:mc="http://schemas.openxmlformats.org/markup-compatibility/2006" xmlns:a14="http://schemas.microsoft.com/office/drawing/2010/main">
      <mc:Choice Requires="a14">
        <xdr:sp macro="" textlink="">
          <xdr:nvSpPr>
            <xdr:cNvPr id="17" name="CuadroTexto 16">
              <a:extLst>
                <a:ext uri="{FF2B5EF4-FFF2-40B4-BE49-F238E27FC236}">
                  <a16:creationId xmlns:a16="http://schemas.microsoft.com/office/drawing/2014/main" id="{7D4961B9-93BD-40B3-A998-C956FA5A7BC6}"/>
                </a:ext>
              </a:extLst>
            </xdr:cNvPr>
            <xdr:cNvSpPr txBox="1"/>
          </xdr:nvSpPr>
          <xdr:spPr>
            <a:xfrm>
              <a:off x="8458200" y="11791950"/>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𝑂</m:t>
                        </m:r>
                      </m:sub>
                    </m:sSub>
                    <m:r>
                      <a:rPr lang="es-ES" sz="110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CL" sz="1100" b="0" i="1">
                            <a:solidFill>
                              <a:schemeClr val="tx1"/>
                            </a:solidFill>
                            <a:effectLst/>
                            <a:latin typeface="Cambria Math" panose="02040503050406030204" pitchFamily="18" charset="0"/>
                            <a:ea typeface="+mn-ea"/>
                            <a:cs typeface="+mn-cs"/>
                          </a:rPr>
                          <m:t>𝑂</m:t>
                        </m:r>
                      </m:sub>
                    </m:sSub>
                    <m:r>
                      <a:rPr lang="es-ES" sz="110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𝑝𝑟𝑜𝑡𝑒</m:t>
                        </m:r>
                        <m:r>
                          <a:rPr lang="es-CL" sz="1100" b="0" i="1">
                            <a:solidFill>
                              <a:schemeClr val="tx1"/>
                            </a:solidFill>
                            <a:effectLst/>
                            <a:latin typeface="Cambria Math" panose="02040503050406030204" pitchFamily="18" charset="0"/>
                            <a:ea typeface="+mn-ea"/>
                            <a:cs typeface="+mn-cs"/>
                          </a:rPr>
                          <m:t>í</m:t>
                        </m:r>
                        <m:r>
                          <a:rPr lang="es-CL" sz="1100" b="0" i="1">
                            <a:solidFill>
                              <a:schemeClr val="tx1"/>
                            </a:solidFill>
                            <a:effectLst/>
                            <a:latin typeface="Cambria Math" panose="02040503050406030204" pitchFamily="18" charset="0"/>
                            <a:ea typeface="+mn-ea"/>
                            <a:cs typeface="+mn-cs"/>
                          </a:rPr>
                          <m:t>𝑛𝑎</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7" name="CuadroTexto 16">
              <a:extLst>
                <a:ext uri="{FF2B5EF4-FFF2-40B4-BE49-F238E27FC236}">
                  <a16:creationId xmlns:a16="http://schemas.microsoft.com/office/drawing/2014/main" id="{7D4961B9-93BD-40B3-A998-C956FA5A7BC6}"/>
                </a:ext>
              </a:extLst>
            </xdr:cNvPr>
            <xdr:cNvSpPr txBox="1"/>
          </xdr:nvSpPr>
          <xdr:spPr>
            <a:xfrm>
              <a:off x="8458200" y="11791950"/>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𝑂</a:t>
              </a:r>
              <a:r>
                <a:rPr lang="es-ES" sz="1100" i="0">
                  <a:solidFill>
                    <a:schemeClr val="tx1"/>
                  </a:solidFill>
                  <a:effectLst/>
                  <a:latin typeface="+mn-lt"/>
                  <a:ea typeface="+mn-ea"/>
                  <a:cs typeface="+mn-cs"/>
                </a:rPr>
                <a:t>=%</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𝑂</a:t>
              </a:r>
              <a:r>
                <a:rPr lang="es-ES" sz="1100" i="0">
                  <a:solidFill>
                    <a:schemeClr val="tx1"/>
                  </a:solidFill>
                  <a:effectLst/>
                  <a:latin typeface="+mn-lt"/>
                  <a:ea typeface="+mn-ea"/>
                  <a:cs typeface="+mn-cs"/>
                </a:rPr>
                <a:t>∙</a:t>
              </a:r>
              <a:r>
                <a:rPr lang="es-CL" sz="1100" b="0" i="0">
                  <a:solidFill>
                    <a:schemeClr val="tx1"/>
                  </a:solidFill>
                  <a:effectLst/>
                  <a:latin typeface="Cambria Math" panose="02040503050406030204" pitchFamily="18" charset="0"/>
                  <a:ea typeface="+mn-ea"/>
                  <a:cs typeface="+mn-cs"/>
                </a:rPr>
                <a:t>𝐹_𝑝𝑟𝑜𝑡𝑒í𝑛𝑎</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2028825</xdr:colOff>
      <xdr:row>49</xdr:row>
      <xdr:rowOff>9525</xdr:rowOff>
    </xdr:from>
    <xdr:ext cx="1257139" cy="354841"/>
    <mc:AlternateContent xmlns:mc="http://schemas.openxmlformats.org/markup-compatibility/2006" xmlns:a14="http://schemas.microsoft.com/office/drawing/2010/main">
      <mc:Choice Requires="a14">
        <xdr:sp macro="" textlink="">
          <xdr:nvSpPr>
            <xdr:cNvPr id="18" name="CuadroTexto 17">
              <a:extLst>
                <a:ext uri="{FF2B5EF4-FFF2-40B4-BE49-F238E27FC236}">
                  <a16:creationId xmlns:a16="http://schemas.microsoft.com/office/drawing/2014/main" id="{5574950D-FD60-43DD-86CB-32997633817B}"/>
                </a:ext>
              </a:extLst>
            </xdr:cNvPr>
            <xdr:cNvSpPr txBox="1"/>
          </xdr:nvSpPr>
          <xdr:spPr>
            <a:xfrm>
              <a:off x="8524875" y="11591925"/>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𝐻</m:t>
                        </m:r>
                      </m:sub>
                    </m:sSub>
                    <m:r>
                      <a:rPr lang="es-ES" sz="110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CL" sz="1100" b="0" i="1">
                            <a:solidFill>
                              <a:schemeClr val="tx1"/>
                            </a:solidFill>
                            <a:effectLst/>
                            <a:latin typeface="Cambria Math" panose="02040503050406030204" pitchFamily="18" charset="0"/>
                            <a:ea typeface="+mn-ea"/>
                            <a:cs typeface="+mn-cs"/>
                          </a:rPr>
                          <m:t>𝐻</m:t>
                        </m:r>
                      </m:sub>
                    </m:sSub>
                    <m:r>
                      <a:rPr lang="es-ES" sz="110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𝑝𝑟𝑜𝑡𝑒</m:t>
                        </m:r>
                        <m:r>
                          <a:rPr lang="es-CL" sz="1100" b="0" i="1">
                            <a:solidFill>
                              <a:schemeClr val="tx1"/>
                            </a:solidFill>
                            <a:effectLst/>
                            <a:latin typeface="Cambria Math" panose="02040503050406030204" pitchFamily="18" charset="0"/>
                            <a:ea typeface="+mn-ea"/>
                            <a:cs typeface="+mn-cs"/>
                          </a:rPr>
                          <m:t>í</m:t>
                        </m:r>
                        <m:r>
                          <a:rPr lang="es-CL" sz="1100" b="0" i="1">
                            <a:solidFill>
                              <a:schemeClr val="tx1"/>
                            </a:solidFill>
                            <a:effectLst/>
                            <a:latin typeface="Cambria Math" panose="02040503050406030204" pitchFamily="18" charset="0"/>
                            <a:ea typeface="+mn-ea"/>
                            <a:cs typeface="+mn-cs"/>
                          </a:rPr>
                          <m:t>𝑛𝑎</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8" name="CuadroTexto 17">
              <a:extLst>
                <a:ext uri="{FF2B5EF4-FFF2-40B4-BE49-F238E27FC236}">
                  <a16:creationId xmlns:a16="http://schemas.microsoft.com/office/drawing/2014/main" id="{5574950D-FD60-43DD-86CB-32997633817B}"/>
                </a:ext>
              </a:extLst>
            </xdr:cNvPr>
            <xdr:cNvSpPr txBox="1"/>
          </xdr:nvSpPr>
          <xdr:spPr>
            <a:xfrm>
              <a:off x="8524875" y="11591925"/>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𝐻</a:t>
              </a:r>
              <a:r>
                <a:rPr lang="es-ES" sz="1100" i="0">
                  <a:solidFill>
                    <a:schemeClr val="tx1"/>
                  </a:solidFill>
                  <a:effectLst/>
                  <a:latin typeface="+mn-lt"/>
                  <a:ea typeface="+mn-ea"/>
                  <a:cs typeface="+mn-cs"/>
                </a:rPr>
                <a:t>=%</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𝐻</a:t>
              </a:r>
              <a:r>
                <a:rPr lang="es-ES" sz="1100" i="0">
                  <a:solidFill>
                    <a:schemeClr val="tx1"/>
                  </a:solidFill>
                  <a:effectLst/>
                  <a:latin typeface="+mn-lt"/>
                  <a:ea typeface="+mn-ea"/>
                  <a:cs typeface="+mn-cs"/>
                </a:rPr>
                <a:t>∙</a:t>
              </a:r>
              <a:r>
                <a:rPr lang="es-CL" sz="1100" b="0" i="0">
                  <a:solidFill>
                    <a:schemeClr val="tx1"/>
                  </a:solidFill>
                  <a:effectLst/>
                  <a:latin typeface="Cambria Math" panose="02040503050406030204" pitchFamily="18" charset="0"/>
                  <a:ea typeface="+mn-ea"/>
                  <a:cs typeface="+mn-cs"/>
                </a:rPr>
                <a:t>𝐹_𝑝𝑟𝑜𝑡𝑒í𝑛𝑎</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2028825</xdr:colOff>
      <xdr:row>48</xdr:row>
      <xdr:rowOff>0</xdr:rowOff>
    </xdr:from>
    <xdr:ext cx="1257139" cy="354841"/>
    <mc:AlternateContent xmlns:mc="http://schemas.openxmlformats.org/markup-compatibility/2006" xmlns:a14="http://schemas.microsoft.com/office/drawing/2010/main">
      <mc:Choice Requires="a14">
        <xdr:sp macro="" textlink="">
          <xdr:nvSpPr>
            <xdr:cNvPr id="19" name="CuadroTexto 18">
              <a:extLst>
                <a:ext uri="{FF2B5EF4-FFF2-40B4-BE49-F238E27FC236}">
                  <a16:creationId xmlns:a16="http://schemas.microsoft.com/office/drawing/2014/main" id="{3C7A924C-4CAE-49ED-8876-1C1144D566F6}"/>
                </a:ext>
              </a:extLst>
            </xdr:cNvPr>
            <xdr:cNvSpPr txBox="1"/>
          </xdr:nvSpPr>
          <xdr:spPr>
            <a:xfrm>
              <a:off x="8524875" y="11382375"/>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𝐶</m:t>
                        </m:r>
                      </m:sub>
                    </m:sSub>
                    <m:r>
                      <a:rPr lang="es-ES" sz="1100" i="1">
                        <a:solidFill>
                          <a:schemeClr val="tx1"/>
                        </a:solidFill>
                        <a:effectLst/>
                        <a:latin typeface="Cambria Math" panose="02040503050406030204" pitchFamily="18" charset="0"/>
                        <a:ea typeface="+mn-ea"/>
                        <a:cs typeface="+mn-cs"/>
                      </a:rPr>
                      <m:t>=</m:t>
                    </m:r>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m:t>
                        </m:r>
                      </m:e>
                      <m:sub>
                        <m:r>
                          <a:rPr lang="es-CL" sz="1100" b="0" i="1">
                            <a:solidFill>
                              <a:schemeClr val="tx1"/>
                            </a:solidFill>
                            <a:effectLst/>
                            <a:latin typeface="Cambria Math" panose="02040503050406030204" pitchFamily="18" charset="0"/>
                            <a:ea typeface="+mn-ea"/>
                            <a:cs typeface="+mn-cs"/>
                          </a:rPr>
                          <m:t>𝐻</m:t>
                        </m:r>
                      </m:sub>
                    </m:sSub>
                    <m:r>
                      <a:rPr lang="es-ES" sz="110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𝐹</m:t>
                        </m:r>
                      </m:e>
                      <m:sub>
                        <m:r>
                          <a:rPr lang="es-CL" sz="1100" b="0" i="1">
                            <a:solidFill>
                              <a:schemeClr val="tx1"/>
                            </a:solidFill>
                            <a:effectLst/>
                            <a:latin typeface="Cambria Math" panose="02040503050406030204" pitchFamily="18" charset="0"/>
                            <a:ea typeface="+mn-ea"/>
                            <a:cs typeface="+mn-cs"/>
                          </a:rPr>
                          <m:t>𝑝𝑟𝑜𝑡𝑒</m:t>
                        </m:r>
                        <m:r>
                          <a:rPr lang="es-CL" sz="1100" b="0" i="1">
                            <a:solidFill>
                              <a:schemeClr val="tx1"/>
                            </a:solidFill>
                            <a:effectLst/>
                            <a:latin typeface="Cambria Math" panose="02040503050406030204" pitchFamily="18" charset="0"/>
                            <a:ea typeface="+mn-ea"/>
                            <a:cs typeface="+mn-cs"/>
                          </a:rPr>
                          <m:t>í</m:t>
                        </m:r>
                        <m:r>
                          <a:rPr lang="es-CL" sz="1100" b="0" i="1">
                            <a:solidFill>
                              <a:schemeClr val="tx1"/>
                            </a:solidFill>
                            <a:effectLst/>
                            <a:latin typeface="Cambria Math" panose="02040503050406030204" pitchFamily="18" charset="0"/>
                            <a:ea typeface="+mn-ea"/>
                            <a:cs typeface="+mn-cs"/>
                          </a:rPr>
                          <m:t>𝑛𝑎</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19" name="CuadroTexto 18">
              <a:extLst>
                <a:ext uri="{FF2B5EF4-FFF2-40B4-BE49-F238E27FC236}">
                  <a16:creationId xmlns:a16="http://schemas.microsoft.com/office/drawing/2014/main" id="{3C7A924C-4CAE-49ED-8876-1C1144D566F6}"/>
                </a:ext>
              </a:extLst>
            </xdr:cNvPr>
            <xdr:cNvSpPr txBox="1"/>
          </xdr:nvSpPr>
          <xdr:spPr>
            <a:xfrm>
              <a:off x="8524875" y="11382375"/>
              <a:ext cx="1257139"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𝐹</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𝐶</a:t>
              </a:r>
              <a:r>
                <a:rPr lang="es-ES" sz="1100" i="0">
                  <a:solidFill>
                    <a:schemeClr val="tx1"/>
                  </a:solidFill>
                  <a:effectLst/>
                  <a:latin typeface="+mn-lt"/>
                  <a:ea typeface="+mn-ea"/>
                  <a:cs typeface="+mn-cs"/>
                </a:rPr>
                <a:t>=%</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𝐻</a:t>
              </a:r>
              <a:r>
                <a:rPr lang="es-ES" sz="1100" i="0">
                  <a:solidFill>
                    <a:schemeClr val="tx1"/>
                  </a:solidFill>
                  <a:effectLst/>
                  <a:latin typeface="+mn-lt"/>
                  <a:ea typeface="+mn-ea"/>
                  <a:cs typeface="+mn-cs"/>
                </a:rPr>
                <a:t>∙</a:t>
              </a:r>
              <a:r>
                <a:rPr lang="es-CL" sz="1100" b="0" i="0">
                  <a:solidFill>
                    <a:schemeClr val="tx1"/>
                  </a:solidFill>
                  <a:effectLst/>
                  <a:latin typeface="Cambria Math" panose="02040503050406030204" pitchFamily="18" charset="0"/>
                  <a:ea typeface="+mn-ea"/>
                  <a:cs typeface="+mn-cs"/>
                </a:rPr>
                <a:t>𝐹_𝑝𝑟𝑜𝑡𝑒í𝑛𝑎</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2019300</xdr:colOff>
      <xdr:row>56</xdr:row>
      <xdr:rowOff>138112</xdr:rowOff>
    </xdr:from>
    <xdr:ext cx="1985352" cy="354841"/>
    <mc:AlternateContent xmlns:mc="http://schemas.openxmlformats.org/markup-compatibility/2006" xmlns:a14="http://schemas.microsoft.com/office/drawing/2010/main">
      <mc:Choice Requires="a14">
        <xdr:sp macro="" textlink="">
          <xdr:nvSpPr>
            <xdr:cNvPr id="20" name="CuadroTexto 19">
              <a:extLst>
                <a:ext uri="{FF2B5EF4-FFF2-40B4-BE49-F238E27FC236}">
                  <a16:creationId xmlns:a16="http://schemas.microsoft.com/office/drawing/2014/main" id="{13D04D27-700A-4426-9CE2-AE5DA2912B97}"/>
                </a:ext>
              </a:extLst>
            </xdr:cNvPr>
            <xdr:cNvSpPr txBox="1"/>
          </xdr:nvSpPr>
          <xdr:spPr>
            <a:xfrm>
              <a:off x="8515350" y="14482762"/>
              <a:ext cx="1985352"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𝑝𝑟𝑜𝑡𝑒</m:t>
                        </m:r>
                        <m:r>
                          <a:rPr lang="es-CL" sz="1100" b="0" i="1">
                            <a:solidFill>
                              <a:schemeClr val="tx1"/>
                            </a:solidFill>
                            <a:effectLst/>
                            <a:latin typeface="Cambria Math" panose="02040503050406030204" pitchFamily="18" charset="0"/>
                            <a:ea typeface="+mn-ea"/>
                            <a:cs typeface="+mn-cs"/>
                          </a:rPr>
                          <m:t>í</m:t>
                        </m:r>
                        <m:r>
                          <a:rPr lang="es-CL" sz="1100" b="0" i="1">
                            <a:solidFill>
                              <a:schemeClr val="tx1"/>
                            </a:solidFill>
                            <a:effectLst/>
                            <a:latin typeface="Cambria Math" panose="02040503050406030204" pitchFamily="18" charset="0"/>
                            <a:ea typeface="+mn-ea"/>
                            <a:cs typeface="+mn-cs"/>
                          </a:rPr>
                          <m:t>𝑛𝑎</m:t>
                        </m:r>
                        <m:r>
                          <a:rPr lang="es-CL" sz="1100" b="0" i="1">
                            <a:solidFill>
                              <a:schemeClr val="tx1"/>
                            </a:solidFill>
                            <a:effectLst/>
                            <a:latin typeface="Cambria Math" panose="02040503050406030204" pitchFamily="18" charset="0"/>
                            <a:ea typeface="+mn-ea"/>
                            <a:cs typeface="+mn-cs"/>
                          </a:rPr>
                          <m:t> </m:t>
                        </m:r>
                      </m:sub>
                    </m:sSub>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𝑐</m:t>
                        </m:r>
                      </m:sub>
                    </m:sSub>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𝐻</m:t>
                        </m:r>
                      </m:sub>
                    </m:sSub>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𝑂</m:t>
                        </m:r>
                      </m:sub>
                    </m:sSub>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𝑁</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0" name="CuadroTexto 19">
              <a:extLst>
                <a:ext uri="{FF2B5EF4-FFF2-40B4-BE49-F238E27FC236}">
                  <a16:creationId xmlns:a16="http://schemas.microsoft.com/office/drawing/2014/main" id="{13D04D27-700A-4426-9CE2-AE5DA2912B97}"/>
                </a:ext>
              </a:extLst>
            </xdr:cNvPr>
            <xdr:cNvSpPr txBox="1"/>
          </xdr:nvSpPr>
          <xdr:spPr>
            <a:xfrm>
              <a:off x="8515350" y="14482762"/>
              <a:ext cx="1985352"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solidFill>
                    <a:schemeClr val="tx1"/>
                  </a:solidFill>
                  <a:effectLst/>
                  <a:latin typeface="+mn-lt"/>
                  <a:ea typeface="+mn-ea"/>
                  <a:cs typeface="+mn-cs"/>
                </a:rPr>
                <a:t>𝑛</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𝑝𝑟𝑜𝑡𝑒í𝑛𝑎 </a:t>
              </a:r>
              <a:r>
                <a:rPr lang="es-CL" sz="1100" b="0" i="0">
                  <a:solidFill>
                    <a:schemeClr val="tx1"/>
                  </a:solidFill>
                  <a:effectLst/>
                  <a:latin typeface="+mn-lt"/>
                  <a:ea typeface="+mn-ea"/>
                  <a:cs typeface="+mn-cs"/>
                </a:rPr>
                <a:t>)</a:t>
              </a:r>
              <a:r>
                <a:rPr lang="es-CL" sz="1100" b="0" i="0">
                  <a:solidFill>
                    <a:schemeClr val="tx1"/>
                  </a:solidFill>
                  <a:effectLst/>
                  <a:latin typeface="Cambria Math" panose="02040503050406030204" pitchFamily="18" charset="0"/>
                  <a:ea typeface="+mn-ea"/>
                  <a:cs typeface="+mn-cs"/>
                </a:rPr>
                <a:t>=𝑛_𝑐+𝑛_𝐻+𝑛_𝑂+𝑛_𝑁</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66675</xdr:colOff>
      <xdr:row>56</xdr:row>
      <xdr:rowOff>214312</xdr:rowOff>
    </xdr:from>
    <xdr:ext cx="783676" cy="354841"/>
    <mc:AlternateContent xmlns:mc="http://schemas.openxmlformats.org/markup-compatibility/2006" xmlns:a14="http://schemas.microsoft.com/office/drawing/2010/main">
      <mc:Choice Requires="a14">
        <xdr:sp macro="" textlink="">
          <xdr:nvSpPr>
            <xdr:cNvPr id="21" name="CuadroTexto 20">
              <a:extLst>
                <a:ext uri="{FF2B5EF4-FFF2-40B4-BE49-F238E27FC236}">
                  <a16:creationId xmlns:a16="http://schemas.microsoft.com/office/drawing/2014/main" id="{C534DD4B-7A4D-4F59-B0DF-52B4148537FF}"/>
                </a:ext>
              </a:extLst>
            </xdr:cNvPr>
            <xdr:cNvSpPr txBox="1"/>
          </xdr:nvSpPr>
          <xdr:spPr>
            <a:xfrm>
              <a:off x="3686175" y="14558962"/>
              <a:ext cx="783676"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ES" sz="110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𝑝𝑟𝑜𝑡𝑒</m:t>
                        </m:r>
                        <m:r>
                          <a:rPr lang="es-CL" sz="1100" b="0" i="1">
                            <a:solidFill>
                              <a:schemeClr val="tx1"/>
                            </a:solidFill>
                            <a:effectLst/>
                            <a:latin typeface="Cambria Math" panose="02040503050406030204" pitchFamily="18" charset="0"/>
                            <a:ea typeface="+mn-ea"/>
                            <a:cs typeface="+mn-cs"/>
                          </a:rPr>
                          <m:t>í</m:t>
                        </m:r>
                        <m:r>
                          <a:rPr lang="es-CL" sz="1100" b="0" i="1">
                            <a:solidFill>
                              <a:schemeClr val="tx1"/>
                            </a:solidFill>
                            <a:effectLst/>
                            <a:latin typeface="Cambria Math" panose="02040503050406030204" pitchFamily="18" charset="0"/>
                            <a:ea typeface="+mn-ea"/>
                            <a:cs typeface="+mn-cs"/>
                          </a:rPr>
                          <m:t>𝑛𝑎</m:t>
                        </m:r>
                        <m:r>
                          <a:rPr lang="es-CL" sz="1100" b="0" i="1">
                            <a:solidFill>
                              <a:schemeClr val="tx1"/>
                            </a:solidFill>
                            <a:effectLst/>
                            <a:latin typeface="Cambria Math" panose="02040503050406030204" pitchFamily="18" charset="0"/>
                            <a:ea typeface="+mn-ea"/>
                            <a:cs typeface="+mn-cs"/>
                          </a:rPr>
                          <m:t> </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1" name="CuadroTexto 20">
              <a:extLst>
                <a:ext uri="{FF2B5EF4-FFF2-40B4-BE49-F238E27FC236}">
                  <a16:creationId xmlns:a16="http://schemas.microsoft.com/office/drawing/2014/main" id="{C534DD4B-7A4D-4F59-B0DF-52B4148537FF}"/>
                </a:ext>
              </a:extLst>
            </xdr:cNvPr>
            <xdr:cNvSpPr txBox="1"/>
          </xdr:nvSpPr>
          <xdr:spPr>
            <a:xfrm>
              <a:off x="3686175" y="14558962"/>
              <a:ext cx="783676"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solidFill>
                    <a:schemeClr val="tx1"/>
                  </a:solidFill>
                  <a:effectLst/>
                  <a:latin typeface="+mn-lt"/>
                  <a:ea typeface="+mn-ea"/>
                  <a:cs typeface="+mn-cs"/>
                </a:rPr>
                <a:t>𝑛</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𝑝𝑟𝑜𝑡𝑒í𝑛𝑎 </a:t>
              </a:r>
              <a:r>
                <a:rPr lang="es-CL" sz="1100" b="0" i="0">
                  <a:solidFill>
                    <a:schemeClr val="tx1"/>
                  </a:solidFill>
                  <a:effectLst/>
                  <a:latin typeface="+mn-lt"/>
                  <a:ea typeface="+mn-ea"/>
                  <a:cs typeface="+mn-cs"/>
                </a:rPr>
                <a:t>)</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228600</xdr:colOff>
      <xdr:row>52</xdr:row>
      <xdr:rowOff>190500</xdr:rowOff>
    </xdr:from>
    <xdr:ext cx="270978" cy="344453"/>
    <mc:AlternateContent xmlns:mc="http://schemas.openxmlformats.org/markup-compatibility/2006" xmlns:a14="http://schemas.microsoft.com/office/drawing/2010/main">
      <mc:Choice Requires="a14">
        <xdr:sp macro="" textlink="">
          <xdr:nvSpPr>
            <xdr:cNvPr id="22" name="CuadroTexto 21">
              <a:extLst>
                <a:ext uri="{FF2B5EF4-FFF2-40B4-BE49-F238E27FC236}">
                  <a16:creationId xmlns:a16="http://schemas.microsoft.com/office/drawing/2014/main" id="{A863A86A-51F5-498D-8366-C84BE1BE21D0}"/>
                </a:ext>
              </a:extLst>
            </xdr:cNvPr>
            <xdr:cNvSpPr txBox="1"/>
          </xdr:nvSpPr>
          <xdr:spPr>
            <a:xfrm>
              <a:off x="3848100" y="12515850"/>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𝐶</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2" name="CuadroTexto 21">
              <a:extLst>
                <a:ext uri="{FF2B5EF4-FFF2-40B4-BE49-F238E27FC236}">
                  <a16:creationId xmlns:a16="http://schemas.microsoft.com/office/drawing/2014/main" id="{A863A86A-51F5-498D-8366-C84BE1BE21D0}"/>
                </a:ext>
              </a:extLst>
            </xdr:cNvPr>
            <xdr:cNvSpPr txBox="1"/>
          </xdr:nvSpPr>
          <xdr:spPr>
            <a:xfrm>
              <a:off x="3848100" y="12515850"/>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𝑛</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𝐶</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228600</xdr:colOff>
      <xdr:row>53</xdr:row>
      <xdr:rowOff>123825</xdr:rowOff>
    </xdr:from>
    <xdr:ext cx="270978" cy="344453"/>
    <mc:AlternateContent xmlns:mc="http://schemas.openxmlformats.org/markup-compatibility/2006" xmlns:a14="http://schemas.microsoft.com/office/drawing/2010/main">
      <mc:Choice Requires="a14">
        <xdr:sp macro="" textlink="">
          <xdr:nvSpPr>
            <xdr:cNvPr id="23" name="CuadroTexto 22">
              <a:extLst>
                <a:ext uri="{FF2B5EF4-FFF2-40B4-BE49-F238E27FC236}">
                  <a16:creationId xmlns:a16="http://schemas.microsoft.com/office/drawing/2014/main" id="{C68AA015-DCEF-4199-9D2E-AAECE60246DC}"/>
                </a:ext>
              </a:extLst>
            </xdr:cNvPr>
            <xdr:cNvSpPr txBox="1"/>
          </xdr:nvSpPr>
          <xdr:spPr>
            <a:xfrm>
              <a:off x="3848100" y="13058775"/>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𝐻</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3" name="CuadroTexto 22">
              <a:extLst>
                <a:ext uri="{FF2B5EF4-FFF2-40B4-BE49-F238E27FC236}">
                  <a16:creationId xmlns:a16="http://schemas.microsoft.com/office/drawing/2014/main" id="{C68AA015-DCEF-4199-9D2E-AAECE60246DC}"/>
                </a:ext>
              </a:extLst>
            </xdr:cNvPr>
            <xdr:cNvSpPr txBox="1"/>
          </xdr:nvSpPr>
          <xdr:spPr>
            <a:xfrm>
              <a:off x="3848100" y="13058775"/>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𝑛</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𝐻</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238125</xdr:colOff>
      <xdr:row>54</xdr:row>
      <xdr:rowOff>142875</xdr:rowOff>
    </xdr:from>
    <xdr:ext cx="270978" cy="344453"/>
    <mc:AlternateContent xmlns:mc="http://schemas.openxmlformats.org/markup-compatibility/2006" xmlns:a14="http://schemas.microsoft.com/office/drawing/2010/main">
      <mc:Choice Requires="a14">
        <xdr:sp macro="" textlink="">
          <xdr:nvSpPr>
            <xdr:cNvPr id="24" name="CuadroTexto 23">
              <a:extLst>
                <a:ext uri="{FF2B5EF4-FFF2-40B4-BE49-F238E27FC236}">
                  <a16:creationId xmlns:a16="http://schemas.microsoft.com/office/drawing/2014/main" id="{5BDF83F8-FAA7-4155-93E7-6688DEAF0D73}"/>
                </a:ext>
              </a:extLst>
            </xdr:cNvPr>
            <xdr:cNvSpPr txBox="1"/>
          </xdr:nvSpPr>
          <xdr:spPr>
            <a:xfrm>
              <a:off x="3857625" y="13544550"/>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𝑂</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4" name="CuadroTexto 23">
              <a:extLst>
                <a:ext uri="{FF2B5EF4-FFF2-40B4-BE49-F238E27FC236}">
                  <a16:creationId xmlns:a16="http://schemas.microsoft.com/office/drawing/2014/main" id="{5BDF83F8-FAA7-4155-93E7-6688DEAF0D73}"/>
                </a:ext>
              </a:extLst>
            </xdr:cNvPr>
            <xdr:cNvSpPr txBox="1"/>
          </xdr:nvSpPr>
          <xdr:spPr>
            <a:xfrm>
              <a:off x="3857625" y="13544550"/>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b="0" i="0">
                  <a:solidFill>
                    <a:schemeClr val="tx1"/>
                  </a:solidFill>
                  <a:effectLst/>
                  <a:latin typeface="Cambria Math" panose="02040503050406030204" pitchFamily="18" charset="0"/>
                  <a:ea typeface="+mn-ea"/>
                  <a:cs typeface="+mn-cs"/>
                </a:rPr>
                <a:t>𝑛</a:t>
              </a:r>
              <a:r>
                <a:rPr lang="es-CL" sz="1100" b="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𝑂</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238125</xdr:colOff>
      <xdr:row>55</xdr:row>
      <xdr:rowOff>152400</xdr:rowOff>
    </xdr:from>
    <xdr:ext cx="270978" cy="344453"/>
    <mc:AlternateContent xmlns:mc="http://schemas.openxmlformats.org/markup-compatibility/2006" xmlns:a14="http://schemas.microsoft.com/office/drawing/2010/main">
      <mc:Choice Requires="a14">
        <xdr:sp macro="" textlink="">
          <xdr:nvSpPr>
            <xdr:cNvPr id="25" name="CuadroTexto 24">
              <a:extLst>
                <a:ext uri="{FF2B5EF4-FFF2-40B4-BE49-F238E27FC236}">
                  <a16:creationId xmlns:a16="http://schemas.microsoft.com/office/drawing/2014/main" id="{88F9B809-6815-41DD-8C0B-28A505175A95}"/>
                </a:ext>
              </a:extLst>
            </xdr:cNvPr>
            <xdr:cNvSpPr txBox="1"/>
          </xdr:nvSpPr>
          <xdr:spPr>
            <a:xfrm>
              <a:off x="3857625" y="14020800"/>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𝑁</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5" name="CuadroTexto 24">
              <a:extLst>
                <a:ext uri="{FF2B5EF4-FFF2-40B4-BE49-F238E27FC236}">
                  <a16:creationId xmlns:a16="http://schemas.microsoft.com/office/drawing/2014/main" id="{88F9B809-6815-41DD-8C0B-28A505175A95}"/>
                </a:ext>
              </a:extLst>
            </xdr:cNvPr>
            <xdr:cNvSpPr txBox="1"/>
          </xdr:nvSpPr>
          <xdr:spPr>
            <a:xfrm>
              <a:off x="3857625" y="14020800"/>
              <a:ext cx="270978"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i="0">
                  <a:solidFill>
                    <a:schemeClr val="tx1"/>
                  </a:solidFill>
                  <a:effectLst/>
                  <a:latin typeface="Cambria Math" panose="02040503050406030204" pitchFamily="18" charset="0"/>
                  <a:ea typeface="+mn-ea"/>
                  <a:cs typeface="+mn-cs"/>
                </a:rPr>
                <a:t>𝑛</a:t>
              </a:r>
              <a:r>
                <a:rPr lang="es-CL" sz="1100" b="0" i="0">
                  <a:solidFill>
                    <a:schemeClr val="tx1"/>
                  </a:solidFill>
                  <a:effectLst/>
                  <a:latin typeface="Cambria Math" panose="02040503050406030204" pitchFamily="18" charset="0"/>
                  <a:ea typeface="+mn-ea"/>
                  <a:cs typeface="+mn-cs"/>
                </a:rPr>
                <a:t>_𝑁</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4</xdr:col>
      <xdr:colOff>1952625</xdr:colOff>
      <xdr:row>57</xdr:row>
      <xdr:rowOff>242887</xdr:rowOff>
    </xdr:from>
    <xdr:ext cx="915764" cy="354841"/>
    <mc:AlternateContent xmlns:mc="http://schemas.openxmlformats.org/markup-compatibility/2006" xmlns:a14="http://schemas.microsoft.com/office/drawing/2010/main">
      <mc:Choice Requires="a14">
        <xdr:sp macro="" textlink="">
          <xdr:nvSpPr>
            <xdr:cNvPr id="26" name="CuadroTexto 25">
              <a:extLst>
                <a:ext uri="{FF2B5EF4-FFF2-40B4-BE49-F238E27FC236}">
                  <a16:creationId xmlns:a16="http://schemas.microsoft.com/office/drawing/2014/main" id="{6E126AC2-3B41-49A2-8DC2-344ECBF6106C}"/>
                </a:ext>
              </a:extLst>
            </xdr:cNvPr>
            <xdr:cNvSpPr txBox="1"/>
          </xdr:nvSpPr>
          <xdr:spPr>
            <a:xfrm>
              <a:off x="8448675" y="15292387"/>
              <a:ext cx="915764"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i="1">
                            <a:solidFill>
                              <a:schemeClr val="tx1"/>
                            </a:solidFill>
                            <a:effectLst/>
                            <a:latin typeface="Cambria Math" panose="02040503050406030204" pitchFamily="18" charset="0"/>
                            <a:ea typeface="+mn-ea"/>
                            <a:cs typeface="+mn-cs"/>
                          </a:rPr>
                        </m:ctrlPr>
                      </m:sSubPr>
                      <m:e>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𝑃</m:t>
                            </m:r>
                          </m:e>
                          <m:sub>
                            <m:r>
                              <a:rPr lang="es-CL" sz="1100" b="0" i="1">
                                <a:solidFill>
                                  <a:schemeClr val="tx1"/>
                                </a:solidFill>
                                <a:effectLst/>
                                <a:latin typeface="Cambria Math" panose="02040503050406030204" pitchFamily="18" charset="0"/>
                                <a:ea typeface="+mn-ea"/>
                                <a:cs typeface="+mn-cs"/>
                              </a:rPr>
                              <m:t>𝑑</m:t>
                            </m:r>
                          </m:sub>
                        </m:sSub>
                        <m:r>
                          <a:rPr lang="es-CL" sz="1100" b="0" i="1">
                            <a:solidFill>
                              <a:schemeClr val="tx1"/>
                            </a:solidFill>
                            <a:effectLst/>
                            <a:latin typeface="Cambria Math" panose="02040503050406030204" pitchFamily="18" charset="0"/>
                            <a:ea typeface="+mn-ea"/>
                            <a:cs typeface="+mn-cs"/>
                          </a:rPr>
                          <m:t>=</m:t>
                        </m:r>
                        <m:r>
                          <a:rPr lang="es-ES" sz="1100" i="1">
                            <a:solidFill>
                              <a:schemeClr val="tx1"/>
                            </a:solidFill>
                            <a:effectLst/>
                            <a:latin typeface="Cambria Math" panose="02040503050406030204" pitchFamily="18" charset="0"/>
                            <a:ea typeface="+mn-ea"/>
                            <a:cs typeface="+mn-cs"/>
                          </a:rPr>
                          <m:t>𝑛</m:t>
                        </m:r>
                      </m:e>
                      <m:sub>
                        <m:r>
                          <a:rPr lang="es-CL" sz="1100" b="0" i="1">
                            <a:solidFill>
                              <a:schemeClr val="tx1"/>
                            </a:solidFill>
                            <a:effectLst/>
                            <a:latin typeface="Cambria Math" panose="02040503050406030204" pitchFamily="18" charset="0"/>
                            <a:ea typeface="+mn-ea"/>
                            <a:cs typeface="+mn-cs"/>
                          </a:rPr>
                          <m:t>𝑝𝑟𝑜𝑡𝑒</m:t>
                        </m:r>
                        <m:r>
                          <a:rPr lang="es-CL" sz="1100" b="0" i="1">
                            <a:solidFill>
                              <a:schemeClr val="tx1"/>
                            </a:solidFill>
                            <a:effectLst/>
                            <a:latin typeface="Cambria Math" panose="02040503050406030204" pitchFamily="18" charset="0"/>
                            <a:ea typeface="+mn-ea"/>
                            <a:cs typeface="+mn-cs"/>
                          </a:rPr>
                          <m:t>í</m:t>
                        </m:r>
                        <m:r>
                          <a:rPr lang="es-CL" sz="1100" b="0" i="1">
                            <a:solidFill>
                              <a:schemeClr val="tx1"/>
                            </a:solidFill>
                            <a:effectLst/>
                            <a:latin typeface="Cambria Math" panose="02040503050406030204" pitchFamily="18" charset="0"/>
                            <a:ea typeface="+mn-ea"/>
                            <a:cs typeface="+mn-cs"/>
                          </a:rPr>
                          <m:t>𝑛𝑎</m:t>
                        </m:r>
                        <m:r>
                          <a:rPr lang="es-CL" sz="1100" b="0" i="1">
                            <a:solidFill>
                              <a:schemeClr val="tx1"/>
                            </a:solidFill>
                            <a:effectLst/>
                            <a:latin typeface="Cambria Math" panose="02040503050406030204" pitchFamily="18" charset="0"/>
                            <a:ea typeface="+mn-ea"/>
                            <a:cs typeface="+mn-cs"/>
                          </a:rPr>
                          <m:t> </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6" name="CuadroTexto 25">
              <a:extLst>
                <a:ext uri="{FF2B5EF4-FFF2-40B4-BE49-F238E27FC236}">
                  <a16:creationId xmlns:a16="http://schemas.microsoft.com/office/drawing/2014/main" id="{6E126AC2-3B41-49A2-8DC2-344ECBF6106C}"/>
                </a:ext>
              </a:extLst>
            </xdr:cNvPr>
            <xdr:cNvSpPr txBox="1"/>
          </xdr:nvSpPr>
          <xdr:spPr>
            <a:xfrm>
              <a:off x="8448675" y="15292387"/>
              <a:ext cx="915764" cy="3548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i="0">
                  <a:solidFill>
                    <a:schemeClr val="tx1"/>
                  </a:solidFill>
                  <a:effectLst/>
                  <a:latin typeface="+mn-lt"/>
                  <a:ea typeface="+mn-ea"/>
                  <a:cs typeface="+mn-cs"/>
                </a:rPr>
                <a:t>〖</a:t>
              </a:r>
              <a:r>
                <a:rPr lang="es-CL" sz="1100" b="0" i="0">
                  <a:solidFill>
                    <a:schemeClr val="tx1"/>
                  </a:solidFill>
                  <a:effectLst/>
                  <a:latin typeface="Cambria Math" panose="02040503050406030204" pitchFamily="18" charset="0"/>
                  <a:ea typeface="+mn-ea"/>
                  <a:cs typeface="+mn-cs"/>
                </a:rPr>
                <a:t>𝑃_𝑑=</a:t>
              </a:r>
              <a:r>
                <a:rPr lang="es-ES" sz="1100" i="0">
                  <a:solidFill>
                    <a:schemeClr val="tx1"/>
                  </a:solidFill>
                  <a:effectLst/>
                  <a:latin typeface="+mn-lt"/>
                  <a:ea typeface="+mn-ea"/>
                  <a:cs typeface="+mn-cs"/>
                </a:rPr>
                <a:t>𝑛</a:t>
              </a:r>
              <a:r>
                <a:rPr lang="es-CL" sz="1100" i="0">
                  <a:solidFill>
                    <a:schemeClr val="tx1"/>
                  </a:solidFill>
                  <a:effectLst/>
                  <a:latin typeface="+mn-lt"/>
                  <a:ea typeface="+mn-ea"/>
                  <a:cs typeface="+mn-cs"/>
                </a:rPr>
                <a:t>〗_(</a:t>
              </a:r>
              <a:r>
                <a:rPr lang="es-CL" sz="1100" b="0" i="0">
                  <a:solidFill>
                    <a:schemeClr val="tx1"/>
                  </a:solidFill>
                  <a:effectLst/>
                  <a:latin typeface="Cambria Math" panose="02040503050406030204" pitchFamily="18" charset="0"/>
                  <a:ea typeface="+mn-ea"/>
                  <a:cs typeface="+mn-cs"/>
                </a:rPr>
                <a:t>𝑝𝑟𝑜𝑡𝑒í𝑛𝑎 </a:t>
              </a:r>
              <a:r>
                <a:rPr lang="es-CL" sz="1100" b="0" i="0">
                  <a:solidFill>
                    <a:schemeClr val="tx1"/>
                  </a:solidFill>
                  <a:effectLst/>
                  <a:latin typeface="+mn-lt"/>
                  <a:ea typeface="+mn-ea"/>
                  <a:cs typeface="+mn-cs"/>
                </a:rPr>
                <a:t>)</a:t>
              </a:r>
              <a:endParaRPr lang="es-CL" sz="1100">
                <a:solidFill>
                  <a:schemeClr val="tx1"/>
                </a:solidFill>
                <a:effectLst/>
                <a:latin typeface="+mn-lt"/>
                <a:ea typeface="+mn-ea"/>
                <a:cs typeface="+mn-cs"/>
              </a:endParaRPr>
            </a:p>
            <a:p>
              <a:endParaRPr lang="es-CL" sz="1100"/>
            </a:p>
          </xdr:txBody>
        </xdr:sp>
      </mc:Fallback>
    </mc:AlternateContent>
    <xdr:clientData/>
  </xdr:oneCellAnchor>
  <xdr:oneCellAnchor>
    <xdr:from>
      <xdr:col>1</xdr:col>
      <xdr:colOff>295275</xdr:colOff>
      <xdr:row>57</xdr:row>
      <xdr:rowOff>400050</xdr:rowOff>
    </xdr:from>
    <xdr:ext cx="237373" cy="344453"/>
    <mc:AlternateContent xmlns:mc="http://schemas.openxmlformats.org/markup-compatibility/2006" xmlns:a14="http://schemas.microsoft.com/office/drawing/2010/main">
      <mc:Choice Requires="a14">
        <xdr:sp macro="" textlink="">
          <xdr:nvSpPr>
            <xdr:cNvPr id="27" name="CuadroTexto 26">
              <a:extLst>
                <a:ext uri="{FF2B5EF4-FFF2-40B4-BE49-F238E27FC236}">
                  <a16:creationId xmlns:a16="http://schemas.microsoft.com/office/drawing/2014/main" id="{C21B4C75-8E1C-4EA8-B5A8-BF0E85EFFE59}"/>
                </a:ext>
              </a:extLst>
            </xdr:cNvPr>
            <xdr:cNvSpPr txBox="1"/>
          </xdr:nvSpPr>
          <xdr:spPr>
            <a:xfrm>
              <a:off x="3914775" y="15449550"/>
              <a:ext cx="237373"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i="1">
                            <a:solidFill>
                              <a:schemeClr val="tx1"/>
                            </a:solidFill>
                            <a:effectLst/>
                            <a:latin typeface="Cambria Math" panose="02040503050406030204" pitchFamily="18" charset="0"/>
                            <a:ea typeface="+mn-ea"/>
                            <a:cs typeface="+mn-cs"/>
                          </a:rPr>
                          <m:t>𝑃</m:t>
                        </m:r>
                      </m:e>
                      <m:sub>
                        <m:r>
                          <a:rPr lang="es-CL" sz="1100" b="0" i="1">
                            <a:solidFill>
                              <a:schemeClr val="tx1"/>
                            </a:solidFill>
                            <a:effectLst/>
                            <a:latin typeface="Cambria Math" panose="02040503050406030204" pitchFamily="18" charset="0"/>
                            <a:ea typeface="+mn-ea"/>
                            <a:cs typeface="+mn-cs"/>
                          </a:rPr>
                          <m:t>𝑑</m:t>
                        </m:r>
                      </m:sub>
                    </m:sSub>
                  </m:oMath>
                </m:oMathPara>
              </a14:m>
              <a:endParaRPr lang="es-CL" sz="1100">
                <a:solidFill>
                  <a:schemeClr val="tx1"/>
                </a:solidFill>
                <a:effectLst/>
                <a:latin typeface="+mn-lt"/>
                <a:ea typeface="+mn-ea"/>
                <a:cs typeface="+mn-cs"/>
              </a:endParaRPr>
            </a:p>
            <a:p>
              <a:endParaRPr lang="es-CL" sz="1100"/>
            </a:p>
          </xdr:txBody>
        </xdr:sp>
      </mc:Choice>
      <mc:Fallback xmlns="">
        <xdr:sp macro="" textlink="">
          <xdr:nvSpPr>
            <xdr:cNvPr id="27" name="CuadroTexto 26">
              <a:extLst>
                <a:ext uri="{FF2B5EF4-FFF2-40B4-BE49-F238E27FC236}">
                  <a16:creationId xmlns:a16="http://schemas.microsoft.com/office/drawing/2014/main" id="{C21B4C75-8E1C-4EA8-B5A8-BF0E85EFFE59}"/>
                </a:ext>
              </a:extLst>
            </xdr:cNvPr>
            <xdr:cNvSpPr txBox="1"/>
          </xdr:nvSpPr>
          <xdr:spPr>
            <a:xfrm>
              <a:off x="3914775" y="15449550"/>
              <a:ext cx="237373"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s-CL" sz="1100" i="0">
                  <a:solidFill>
                    <a:schemeClr val="tx1"/>
                  </a:solidFill>
                  <a:effectLst/>
                  <a:latin typeface="Cambria Math" panose="02040503050406030204" pitchFamily="18" charset="0"/>
                  <a:ea typeface="+mn-ea"/>
                  <a:cs typeface="+mn-cs"/>
                </a:rPr>
                <a:t>𝑃</a:t>
              </a:r>
              <a:r>
                <a:rPr lang="es-CL" sz="1100" b="0" i="0">
                  <a:solidFill>
                    <a:schemeClr val="tx1"/>
                  </a:solidFill>
                  <a:effectLst/>
                  <a:latin typeface="Cambria Math" panose="02040503050406030204" pitchFamily="18" charset="0"/>
                  <a:ea typeface="+mn-ea"/>
                  <a:cs typeface="+mn-cs"/>
                </a:rPr>
                <a:t>_𝑑</a:t>
              </a:r>
              <a:endParaRPr lang="es-CL" sz="1100">
                <a:solidFill>
                  <a:schemeClr val="tx1"/>
                </a:solidFill>
                <a:effectLst/>
                <a:latin typeface="+mn-lt"/>
                <a:ea typeface="+mn-ea"/>
                <a:cs typeface="+mn-cs"/>
              </a:endParaRPr>
            </a:p>
            <a:p>
              <a:endParaRPr lang="es-CL" sz="1100"/>
            </a:p>
          </xdr:txBody>
        </xdr:sp>
      </mc:Fallback>
    </mc:AlternateContent>
    <xdr:clientData/>
  </xdr:oneCellAnchor>
  <xdr:twoCellAnchor editAs="oneCell">
    <xdr:from>
      <xdr:col>0</xdr:col>
      <xdr:colOff>330200</xdr:colOff>
      <xdr:row>3</xdr:row>
      <xdr:rowOff>50799</xdr:rowOff>
    </xdr:from>
    <xdr:to>
      <xdr:col>1</xdr:col>
      <xdr:colOff>566930</xdr:colOff>
      <xdr:row>9</xdr:row>
      <xdr:rowOff>42333</xdr:rowOff>
    </xdr:to>
    <xdr:pic>
      <xdr:nvPicPr>
        <xdr:cNvPr id="28" name="Imagen 27">
          <a:extLst>
            <a:ext uri="{FF2B5EF4-FFF2-40B4-BE49-F238E27FC236}">
              <a16:creationId xmlns:a16="http://schemas.microsoft.com/office/drawing/2014/main" id="{845D17C8-555A-494C-BF4F-6E27694AEDB4}"/>
            </a:ext>
          </a:extLst>
        </xdr:cNvPr>
        <xdr:cNvPicPr>
          <a:picLocks noChangeAspect="1"/>
        </xdr:cNvPicPr>
      </xdr:nvPicPr>
      <xdr:blipFill>
        <a:blip xmlns:r="http://schemas.openxmlformats.org/officeDocument/2006/relationships" r:embed="rId1"/>
        <a:stretch>
          <a:fillRect/>
        </a:stretch>
      </xdr:blipFill>
      <xdr:spPr>
        <a:xfrm>
          <a:off x="330200" y="622299"/>
          <a:ext cx="3856230" cy="152611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4</xdr:col>
      <xdr:colOff>4364318</xdr:colOff>
      <xdr:row>2</xdr:row>
      <xdr:rowOff>48559</xdr:rowOff>
    </xdr:from>
    <xdr:ext cx="1638300" cy="332142"/>
    <mc:AlternateContent xmlns:mc="http://schemas.openxmlformats.org/markup-compatibility/2006" xmlns:a14="http://schemas.microsoft.com/office/drawing/2010/main">
      <mc:Choice Requires="a14">
        <xdr:sp macro="" textlink="">
          <xdr:nvSpPr>
            <xdr:cNvPr id="7" name="CuadroTexto 2">
              <a:extLst>
                <a:ext uri="{FF2B5EF4-FFF2-40B4-BE49-F238E27FC236}">
                  <a16:creationId xmlns:a16="http://schemas.microsoft.com/office/drawing/2014/main" id="{D46D784B-81A6-5147-97E1-AA60B8333A07}"/>
                </a:ext>
              </a:extLst>
            </xdr:cNvPr>
            <xdr:cNvSpPr txBox="1"/>
          </xdr:nvSpPr>
          <xdr:spPr>
            <a:xfrm>
              <a:off x="10917518" y="429559"/>
              <a:ext cx="1638300" cy="3321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ES_tradnl" sz="1400">
                  <a:ea typeface="Cambria Math" panose="02040503050406030204" pitchFamily="18" charset="0"/>
                </a:rPr>
                <a:t> </a:t>
              </a:r>
              <a14:m>
                <m:oMath xmlns:m="http://schemas.openxmlformats.org/officeDocument/2006/math">
                  <m:r>
                    <m:rPr>
                      <m:sty m:val="p"/>
                    </m:rPr>
                    <a:rPr lang="es-ES" sz="1400" b="0" i="0">
                      <a:latin typeface="Cambria Math" panose="02040503050406030204" pitchFamily="18" charset="0"/>
                      <a:ea typeface="Cambria Math" panose="02040503050406030204" pitchFamily="18" charset="0"/>
                    </a:rPr>
                    <m:t>Va</m:t>
                  </m:r>
                  <m:r>
                    <a:rPr lang="es-ES" sz="1400" b="0" i="0">
                      <a:latin typeface="Cambria Math" panose="02040503050406030204" pitchFamily="18" charset="0"/>
                      <a:ea typeface="Cambria Math" panose="02040503050406030204" pitchFamily="18" charset="0"/>
                    </a:rPr>
                    <m:t>=</m:t>
                  </m:r>
                  <m:f>
                    <m:fPr>
                      <m:ctrlPr>
                        <a:rPr lang="es-ES_tradnl" sz="1400" i="1">
                          <a:latin typeface="Cambria Math" panose="02040503050406030204" pitchFamily="18" charset="0"/>
                          <a:ea typeface="Cambria Math" panose="02040503050406030204" pitchFamily="18" charset="0"/>
                        </a:rPr>
                      </m:ctrlPr>
                    </m:fPr>
                    <m:num>
                      <m:r>
                        <a:rPr lang="es-ES" sz="1400" b="0" i="1">
                          <a:latin typeface="Cambria Math" panose="02040503050406030204" pitchFamily="18" charset="0"/>
                          <a:ea typeface="Cambria Math" panose="02040503050406030204" pitchFamily="18" charset="0"/>
                        </a:rPr>
                        <m:t>𝑉𝑞</m:t>
                      </m:r>
                    </m:num>
                    <m:den>
                      <m:r>
                        <a:rPr lang="es-ES_tradnl" sz="1400" i="1">
                          <a:latin typeface="Cambria Math" panose="02040503050406030204" pitchFamily="18" charset="0"/>
                          <a:ea typeface="Cambria Math" panose="02040503050406030204" pitchFamily="18" charset="0"/>
                        </a:rPr>
                        <m:t>𝜂</m:t>
                      </m:r>
                    </m:den>
                  </m:f>
                  <m:r>
                    <a:rPr lang="es-ES" sz="1400" b="0" i="1">
                      <a:latin typeface="Cambria Math" panose="02040503050406030204" pitchFamily="18" charset="0"/>
                      <a:ea typeface="Cambria Math" panose="02040503050406030204" pitchFamily="18" charset="0"/>
                    </a:rPr>
                    <m:t>−</m:t>
                  </m:r>
                  <m:r>
                    <a:rPr lang="es-ES" sz="1400" b="0" i="1">
                      <a:latin typeface="Cambria Math" panose="02040503050406030204" pitchFamily="18" charset="0"/>
                      <a:ea typeface="Cambria Math" panose="02040503050406030204" pitchFamily="18" charset="0"/>
                    </a:rPr>
                    <m:t>𝑉𝑞</m:t>
                  </m:r>
                  <m:r>
                    <a:rPr lang="es-ES" sz="1400" b="0" i="1">
                      <a:latin typeface="Cambria Math" panose="02040503050406030204" pitchFamily="18" charset="0"/>
                      <a:ea typeface="Cambria Math" panose="02040503050406030204" pitchFamily="18" charset="0"/>
                    </a:rPr>
                    <m:t>·</m:t>
                  </m:r>
                  <m:r>
                    <a:rPr lang="es-ES" sz="1400" b="0" i="1">
                      <a:latin typeface="Cambria Math" panose="02040503050406030204" pitchFamily="18" charset="0"/>
                      <a:ea typeface="Cambria Math" panose="02040503050406030204" pitchFamily="18" charset="0"/>
                    </a:rPr>
                    <m:t>𝐶</m:t>
                  </m:r>
                </m:oMath>
              </a14:m>
              <a:endParaRPr lang="es-ES_tradnl" sz="1400"/>
            </a:p>
          </xdr:txBody>
        </xdr:sp>
      </mc:Choice>
      <mc:Fallback xmlns="">
        <xdr:sp macro="" textlink="">
          <xdr:nvSpPr>
            <xdr:cNvPr id="6" name="CuadroTexto 2">
              <a:extLst>
                <a:ext uri="{FF2B5EF4-FFF2-40B4-BE49-F238E27FC236}">
                  <a16:creationId xmlns:a16="http://schemas.microsoft.com/office/drawing/2014/main" id="{D46D784B-81A6-5147-97E1-AA60B8333A07}"/>
                </a:ext>
              </a:extLst>
            </xdr:cNvPr>
            <xdr:cNvSpPr txBox="1"/>
          </xdr:nvSpPr>
          <xdr:spPr>
            <a:xfrm>
              <a:off x="10917518" y="429559"/>
              <a:ext cx="1638300" cy="3321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ES_tradnl" sz="1400">
                  <a:ea typeface="Cambria Math" panose="02040503050406030204" pitchFamily="18" charset="0"/>
                </a:rPr>
                <a:t> </a:t>
              </a:r>
              <a:r>
                <a:rPr lang="es-ES" sz="1400" b="0" i="0">
                  <a:latin typeface="Cambria Math" panose="02040503050406030204" pitchFamily="18" charset="0"/>
                  <a:ea typeface="Cambria Math" panose="02040503050406030204" pitchFamily="18" charset="0"/>
                </a:rPr>
                <a:t>Va=𝑉𝑞</a:t>
              </a:r>
              <a:r>
                <a:rPr lang="es-ES_tradnl" sz="1400" b="0" i="0">
                  <a:latin typeface="Cambria Math" panose="02040503050406030204" pitchFamily="18" charset="0"/>
                  <a:ea typeface="Cambria Math" panose="02040503050406030204" pitchFamily="18" charset="0"/>
                </a:rPr>
                <a:t>/</a:t>
              </a:r>
              <a:r>
                <a:rPr lang="es-ES_tradnl" sz="1400" i="0">
                  <a:latin typeface="Cambria Math" panose="02040503050406030204" pitchFamily="18" charset="0"/>
                  <a:ea typeface="Cambria Math" panose="02040503050406030204" pitchFamily="18" charset="0"/>
                </a:rPr>
                <a:t>𝜂</a:t>
              </a:r>
              <a:r>
                <a:rPr lang="es-ES" sz="1400" b="0" i="0">
                  <a:latin typeface="Cambria Math" panose="02040503050406030204" pitchFamily="18" charset="0"/>
                  <a:ea typeface="Cambria Math" panose="02040503050406030204" pitchFamily="18" charset="0"/>
                </a:rPr>
                <a:t>−𝑉𝑞·𝐶</a:t>
              </a:r>
              <a:endParaRPr lang="es-ES_tradnl" sz="1400"/>
            </a:p>
          </xdr:txBody>
        </xdr:sp>
      </mc:Fallback>
    </mc:AlternateContent>
    <xdr:clientData/>
  </xdr:oneCellAnchor>
  <xdr:twoCellAnchor editAs="oneCell">
    <xdr:from>
      <xdr:col>0</xdr:col>
      <xdr:colOff>548409</xdr:colOff>
      <xdr:row>1</xdr:row>
      <xdr:rowOff>173181</xdr:rowOff>
    </xdr:from>
    <xdr:to>
      <xdr:col>2</xdr:col>
      <xdr:colOff>399059</xdr:colOff>
      <xdr:row>11</xdr:row>
      <xdr:rowOff>44518</xdr:rowOff>
    </xdr:to>
    <xdr:pic>
      <xdr:nvPicPr>
        <xdr:cNvPr id="3" name="Imagen 2">
          <a:extLst>
            <a:ext uri="{FF2B5EF4-FFF2-40B4-BE49-F238E27FC236}">
              <a16:creationId xmlns:a16="http://schemas.microsoft.com/office/drawing/2014/main" id="{7C9067A1-891E-4C4A-B416-E80369B15759}"/>
            </a:ext>
          </a:extLst>
        </xdr:cNvPr>
        <xdr:cNvPicPr>
          <a:picLocks noChangeAspect="1"/>
        </xdr:cNvPicPr>
      </xdr:nvPicPr>
      <xdr:blipFill>
        <a:blip xmlns:r="http://schemas.openxmlformats.org/officeDocument/2006/relationships" r:embed="rId1"/>
        <a:stretch>
          <a:fillRect/>
        </a:stretch>
      </xdr:blipFill>
      <xdr:spPr>
        <a:xfrm>
          <a:off x="548409" y="360795"/>
          <a:ext cx="3314286" cy="176190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oneCellAnchor>
    <xdr:from>
      <xdr:col>4</xdr:col>
      <xdr:colOff>1826895</xdr:colOff>
      <xdr:row>1</xdr:row>
      <xdr:rowOff>164782</xdr:rowOff>
    </xdr:from>
    <xdr:ext cx="462563" cy="31803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2854C9B8-8C08-4A62-98C5-DAC26C184137}"/>
                </a:ext>
              </a:extLst>
            </xdr:cNvPr>
            <xdr:cNvSpPr txBox="1"/>
          </xdr:nvSpPr>
          <xdr:spPr>
            <a:xfrm>
              <a:off x="7065645" y="345757"/>
              <a:ext cx="462563" cy="3180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CL" sz="1100" b="0" i="1">
                        <a:latin typeface="Cambria Math" panose="02040503050406030204" pitchFamily="18" charset="0"/>
                      </a:rPr>
                      <m:t>𝐴</m:t>
                    </m:r>
                    <m:r>
                      <a:rPr lang="es-CL" sz="1100" b="0" i="1">
                        <a:latin typeface="Cambria Math" panose="02040503050406030204" pitchFamily="18" charset="0"/>
                      </a:rPr>
                      <m:t>=</m:t>
                    </m:r>
                    <m:f>
                      <m:fPr>
                        <m:ctrlPr>
                          <a:rPr lang="es-CL" sz="1100" b="0" i="1">
                            <a:latin typeface="Cambria Math" panose="02040503050406030204" pitchFamily="18" charset="0"/>
                          </a:rPr>
                        </m:ctrlPr>
                      </m:fPr>
                      <m:num>
                        <m:r>
                          <a:rPr lang="es-CL" sz="1100" b="0" i="1">
                            <a:latin typeface="Cambria Math" panose="02040503050406030204" pitchFamily="18" charset="0"/>
                          </a:rPr>
                          <m:t>𝑄</m:t>
                        </m:r>
                      </m:num>
                      <m:den>
                        <m:r>
                          <a:rPr lang="es-CL" sz="1100" b="0" i="1">
                            <a:latin typeface="Cambria Math" panose="02040503050406030204" pitchFamily="18" charset="0"/>
                          </a:rPr>
                          <m:t>𝑉𝑠</m:t>
                        </m:r>
                      </m:den>
                    </m:f>
                  </m:oMath>
                </m:oMathPara>
              </a14:m>
              <a:endParaRPr lang="es-CL" sz="1100"/>
            </a:p>
          </xdr:txBody>
        </xdr:sp>
      </mc:Choice>
      <mc:Fallback xmlns="">
        <xdr:sp macro="" textlink="">
          <xdr:nvSpPr>
            <xdr:cNvPr id="2" name="CuadroTexto 1">
              <a:extLst>
                <a:ext uri="{FF2B5EF4-FFF2-40B4-BE49-F238E27FC236}">
                  <a16:creationId xmlns:a16="http://schemas.microsoft.com/office/drawing/2014/main" id="{2854C9B8-8C08-4A62-98C5-DAC26C184137}"/>
                </a:ext>
              </a:extLst>
            </xdr:cNvPr>
            <xdr:cNvSpPr txBox="1"/>
          </xdr:nvSpPr>
          <xdr:spPr>
            <a:xfrm>
              <a:off x="7065645" y="345757"/>
              <a:ext cx="462563" cy="3180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b="0" i="0">
                  <a:latin typeface="Cambria Math" panose="02040503050406030204" pitchFamily="18" charset="0"/>
                </a:rPr>
                <a:t>𝐴=𝑄/𝑉𝑠</a:t>
              </a:r>
              <a:endParaRPr lang="es-CL" sz="1100"/>
            </a:p>
          </xdr:txBody>
        </xdr:sp>
      </mc:Fallback>
    </mc:AlternateContent>
    <xdr:clientData/>
  </xdr:oneCellAnchor>
  <xdr:oneCellAnchor>
    <xdr:from>
      <xdr:col>4</xdr:col>
      <xdr:colOff>3992880</xdr:colOff>
      <xdr:row>2</xdr:row>
      <xdr:rowOff>952</xdr:rowOff>
    </xdr:from>
    <xdr:ext cx="1345497" cy="348942"/>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613526C9-B99B-46FA-9F93-49C1A71D7007}"/>
                </a:ext>
              </a:extLst>
            </xdr:cNvPr>
            <xdr:cNvSpPr txBox="1"/>
          </xdr:nvSpPr>
          <xdr:spPr>
            <a:xfrm>
              <a:off x="9308951" y="359540"/>
              <a:ext cx="1345497" cy="3489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CL" sz="1100" b="0" i="1">
                        <a:latin typeface="Cambria Math" panose="02040503050406030204" pitchFamily="18" charset="0"/>
                      </a:rPr>
                      <m:t>𝑉𝑠</m:t>
                    </m:r>
                    <m:r>
                      <a:rPr lang="es-CL" sz="1100" b="0" i="1">
                        <a:latin typeface="Cambria Math" panose="02040503050406030204" pitchFamily="18" charset="0"/>
                      </a:rPr>
                      <m:t>=</m:t>
                    </m:r>
                    <m:f>
                      <m:fPr>
                        <m:ctrlPr>
                          <a:rPr lang="es-CL" sz="1100" b="0" i="1">
                            <a:latin typeface="Cambria Math" panose="02040503050406030204" pitchFamily="18" charset="0"/>
                          </a:rPr>
                        </m:ctrlPr>
                      </m:fPr>
                      <m:num>
                        <m:r>
                          <a:rPr lang="es-CL" sz="1100" b="0" i="1">
                            <a:latin typeface="Cambria Math" panose="02040503050406030204" pitchFamily="18" charset="0"/>
                          </a:rPr>
                          <m:t>1</m:t>
                        </m:r>
                      </m:num>
                      <m:den>
                        <m:r>
                          <a:rPr lang="es-CL" sz="1100" b="0" i="1">
                            <a:latin typeface="Cambria Math" panose="02040503050406030204" pitchFamily="18" charset="0"/>
                          </a:rPr>
                          <m:t>18</m:t>
                        </m:r>
                      </m:den>
                    </m:f>
                    <m:r>
                      <a:rPr lang="es-CL" sz="1100" b="0" i="1">
                        <a:latin typeface="Cambria Math" panose="02040503050406030204" pitchFamily="18" charset="0"/>
                      </a:rPr>
                      <m:t>𝑔</m:t>
                    </m:r>
                    <m:f>
                      <m:fPr>
                        <m:ctrlPr>
                          <a:rPr lang="es-CL" sz="1100" b="0" i="1">
                            <a:solidFill>
                              <a:schemeClr val="tx1"/>
                            </a:solidFill>
                            <a:effectLst/>
                            <a:latin typeface="Cambria Math" panose="02040503050406030204" pitchFamily="18" charset="0"/>
                            <a:ea typeface="+mn-ea"/>
                            <a:cs typeface="+mn-cs"/>
                          </a:rPr>
                        </m:ctrlPr>
                      </m:fPr>
                      <m:num>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𝜌</m:t>
                            </m:r>
                          </m:e>
                          <m:sub>
                            <m:r>
                              <a:rPr lang="es-CL" sz="1100" b="0" i="1">
                                <a:solidFill>
                                  <a:schemeClr val="tx1"/>
                                </a:solidFill>
                                <a:effectLst/>
                                <a:latin typeface="Cambria Math" panose="02040503050406030204" pitchFamily="18" charset="0"/>
                                <a:ea typeface="+mn-ea"/>
                                <a:cs typeface="+mn-cs"/>
                              </a:rPr>
                              <m:t>𝑎</m:t>
                            </m:r>
                          </m:sub>
                        </m:sSub>
                        <m:r>
                          <a:rPr lang="es-CL" sz="1100" b="0" i="1">
                            <a:solidFill>
                              <a:schemeClr val="tx1"/>
                            </a:solidFill>
                            <a:effectLst/>
                            <a:latin typeface="Cambria Math" panose="02040503050406030204" pitchFamily="18" charset="0"/>
                            <a:ea typeface="+mn-ea"/>
                            <a:cs typeface="+mn-cs"/>
                          </a:rPr>
                          <m:t>−</m:t>
                        </m:r>
                        <m:r>
                          <a:rPr lang="es-CL" sz="1100" b="0" i="1">
                            <a:solidFill>
                              <a:schemeClr val="tx1"/>
                            </a:solidFill>
                            <a:effectLst/>
                            <a:latin typeface="Cambria Math" panose="02040503050406030204" pitchFamily="18" charset="0"/>
                            <a:ea typeface="+mn-ea"/>
                            <a:cs typeface="+mn-cs"/>
                          </a:rPr>
                          <m:t>𝜌</m:t>
                        </m:r>
                        <m:r>
                          <a:rPr lang="es-CL" sz="1100" b="0" i="1">
                            <a:solidFill>
                              <a:schemeClr val="tx1"/>
                            </a:solidFill>
                            <a:effectLst/>
                            <a:latin typeface="Cambria Math" panose="02040503050406030204" pitchFamily="18" charset="0"/>
                            <a:ea typeface="+mn-ea"/>
                            <a:cs typeface="+mn-cs"/>
                          </a:rPr>
                          <m:t>)</m:t>
                        </m:r>
                      </m:num>
                      <m:den>
                        <m:r>
                          <a:rPr lang="es-CL" sz="1100" b="0" i="1">
                            <a:solidFill>
                              <a:schemeClr val="tx1"/>
                            </a:solidFill>
                            <a:effectLst/>
                            <a:latin typeface="Cambria Math" panose="02040503050406030204" pitchFamily="18" charset="0"/>
                            <a:ea typeface="+mn-ea"/>
                            <a:cs typeface="+mn-cs"/>
                          </a:rPr>
                          <m:t>𝜇</m:t>
                        </m:r>
                      </m:den>
                    </m:f>
                    <m:sSup>
                      <m:sSupPr>
                        <m:ctrlPr>
                          <a:rPr lang="es-CL" sz="1100" b="0" i="1">
                            <a:solidFill>
                              <a:schemeClr val="tx1"/>
                            </a:solidFill>
                            <a:effectLst/>
                            <a:latin typeface="Cambria Math" panose="02040503050406030204" pitchFamily="18" charset="0"/>
                            <a:ea typeface="+mn-ea"/>
                            <a:cs typeface="+mn-cs"/>
                          </a:rPr>
                        </m:ctrlPr>
                      </m:sSupPr>
                      <m:e>
                        <m:r>
                          <a:rPr lang="es-CL" sz="1100" b="0" i="1">
                            <a:solidFill>
                              <a:schemeClr val="tx1"/>
                            </a:solidFill>
                            <a:effectLst/>
                            <a:latin typeface="Cambria Math" panose="02040503050406030204" pitchFamily="18" charset="0"/>
                            <a:ea typeface="+mn-ea"/>
                            <a:cs typeface="+mn-cs"/>
                          </a:rPr>
                          <m:t>𝑑</m:t>
                        </m:r>
                      </m:e>
                      <m:sup>
                        <m:r>
                          <a:rPr lang="es-CL" sz="1100" b="0" i="1">
                            <a:solidFill>
                              <a:schemeClr val="tx1"/>
                            </a:solidFill>
                            <a:effectLst/>
                            <a:latin typeface="Cambria Math" panose="02040503050406030204" pitchFamily="18" charset="0"/>
                            <a:ea typeface="+mn-ea"/>
                            <a:cs typeface="+mn-cs"/>
                          </a:rPr>
                          <m:t>2</m:t>
                        </m:r>
                      </m:sup>
                    </m:sSup>
                  </m:oMath>
                </m:oMathPara>
              </a14:m>
              <a:endParaRPr lang="es-CL" sz="1100"/>
            </a:p>
          </xdr:txBody>
        </xdr:sp>
      </mc:Choice>
      <mc:Fallback xmlns="">
        <xdr:sp macro="" textlink="">
          <xdr:nvSpPr>
            <xdr:cNvPr id="3" name="CuadroTexto 2">
              <a:extLst>
                <a:ext uri="{FF2B5EF4-FFF2-40B4-BE49-F238E27FC236}">
                  <a16:creationId xmlns:a16="http://schemas.microsoft.com/office/drawing/2014/main" id="{613526C9-B99B-46FA-9F93-49C1A71D7007}"/>
                </a:ext>
              </a:extLst>
            </xdr:cNvPr>
            <xdr:cNvSpPr txBox="1"/>
          </xdr:nvSpPr>
          <xdr:spPr>
            <a:xfrm>
              <a:off x="9308951" y="359540"/>
              <a:ext cx="1345497" cy="3489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b="0" i="0">
                  <a:latin typeface="Cambria Math" panose="02040503050406030204" pitchFamily="18" charset="0"/>
                </a:rPr>
                <a:t>𝑉𝑠=1/18 𝑔</a:t>
              </a:r>
              <a:r>
                <a:rPr lang="es-CL" sz="1100" b="0" i="0">
                  <a:solidFill>
                    <a:schemeClr val="tx1"/>
                  </a:solidFill>
                  <a:effectLst/>
                  <a:latin typeface="+mn-lt"/>
                  <a:ea typeface="+mn-ea"/>
                  <a:cs typeface="+mn-cs"/>
                </a:rPr>
                <a:t> ((𝜌_𝑎−𝜌))/𝜇</a:t>
              </a:r>
              <a:r>
                <a:rPr lang="es-CL" sz="1100" b="0" i="0">
                  <a:solidFill>
                    <a:schemeClr val="tx1"/>
                  </a:solidFill>
                  <a:effectLst/>
                  <a:latin typeface="Cambria Math" panose="02040503050406030204" pitchFamily="18" charset="0"/>
                  <a:ea typeface="+mn-ea"/>
                  <a:cs typeface="+mn-cs"/>
                </a:rPr>
                <a:t> 𝑑^2</a:t>
              </a:r>
              <a:endParaRPr lang="es-CL" sz="1100"/>
            </a:p>
          </xdr:txBody>
        </xdr:sp>
      </mc:Fallback>
    </mc:AlternateContent>
    <xdr:clientData/>
  </xdr:oneCellAnchor>
  <xdr:twoCellAnchor editAs="oneCell">
    <xdr:from>
      <xdr:col>0</xdr:col>
      <xdr:colOff>423022</xdr:colOff>
      <xdr:row>1</xdr:row>
      <xdr:rowOff>93149</xdr:rowOff>
    </xdr:from>
    <xdr:to>
      <xdr:col>2</xdr:col>
      <xdr:colOff>298220</xdr:colOff>
      <xdr:row>9</xdr:row>
      <xdr:rowOff>126855</xdr:rowOff>
    </xdr:to>
    <xdr:pic>
      <xdr:nvPicPr>
        <xdr:cNvPr id="5" name="Imagen 4">
          <a:extLst>
            <a:ext uri="{FF2B5EF4-FFF2-40B4-BE49-F238E27FC236}">
              <a16:creationId xmlns:a16="http://schemas.microsoft.com/office/drawing/2014/main" id="{844E4D8E-55E1-4FC0-B80F-E18A102CFFE5}"/>
            </a:ext>
          </a:extLst>
        </xdr:cNvPr>
        <xdr:cNvPicPr>
          <a:picLocks noChangeAspect="1"/>
        </xdr:cNvPicPr>
      </xdr:nvPicPr>
      <xdr:blipFill>
        <a:blip xmlns:r="http://schemas.openxmlformats.org/officeDocument/2006/relationships" r:embed="rId1"/>
        <a:stretch>
          <a:fillRect/>
        </a:stretch>
      </xdr:blipFill>
      <xdr:spPr>
        <a:xfrm>
          <a:off x="423022" y="271743"/>
          <a:ext cx="3328011" cy="2030937"/>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oneCellAnchor>
    <xdr:from>
      <xdr:col>4</xdr:col>
      <xdr:colOff>2133600</xdr:colOff>
      <xdr:row>2</xdr:row>
      <xdr:rowOff>44767</xdr:rowOff>
    </xdr:from>
    <xdr:ext cx="2298706" cy="38638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8C776993-7EAA-4DA7-8F44-98F87C71027F}"/>
                </a:ext>
              </a:extLst>
            </xdr:cNvPr>
            <xdr:cNvSpPr txBox="1"/>
          </xdr:nvSpPr>
          <xdr:spPr>
            <a:xfrm>
              <a:off x="8473440" y="410527"/>
              <a:ext cx="2298706" cy="3863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a:latin typeface="Cambria Math" panose="02040503050406030204" pitchFamily="18" charset="0"/>
                  <a:ea typeface="Cambria Math" panose="02040503050406030204" pitchFamily="18" charset="0"/>
                </a:rPr>
                <a:t>V=</a:t>
              </a:r>
              <a14:m>
                <m:oMath xmlns:m="http://schemas.openxmlformats.org/officeDocument/2006/math">
                  <m:sSub>
                    <m:sSubPr>
                      <m:ctrlPr>
                        <a:rPr lang="es-CL" sz="1600" i="1">
                          <a:latin typeface="Cambria Math" panose="02040503050406030204" pitchFamily="18" charset="0"/>
                          <a:ea typeface="Cambria Math" panose="02040503050406030204" pitchFamily="18" charset="0"/>
                        </a:rPr>
                      </m:ctrlPr>
                    </m:sSubPr>
                    <m:e>
                      <m:r>
                        <a:rPr lang="es-CL" sz="1600" b="0" i="1">
                          <a:latin typeface="Cambria Math" panose="02040503050406030204" pitchFamily="18" charset="0"/>
                          <a:ea typeface="Cambria Math" panose="02040503050406030204" pitchFamily="18" charset="0"/>
                        </a:rPr>
                        <m:t>𝐹</m:t>
                      </m:r>
                    </m:e>
                    <m:sub>
                      <m:r>
                        <a:rPr lang="es-CL" sz="1600" b="0" i="1">
                          <a:latin typeface="Cambria Math" panose="02040503050406030204" pitchFamily="18" charset="0"/>
                          <a:ea typeface="Cambria Math" panose="02040503050406030204" pitchFamily="18" charset="0"/>
                        </a:rPr>
                        <m:t>0</m:t>
                      </m:r>
                    </m:sub>
                  </m:sSub>
                  <m:nary>
                    <m:naryPr>
                      <m:ctrlPr>
                        <a:rPr lang="es-CL" sz="1600" i="1">
                          <a:latin typeface="Cambria Math" panose="02040503050406030204" pitchFamily="18" charset="0"/>
                          <a:ea typeface="Cambria Math" panose="02040503050406030204" pitchFamily="18" charset="0"/>
                        </a:rPr>
                      </m:ctrlPr>
                    </m:naryPr>
                    <m:sub>
                      <m:r>
                        <m:rPr>
                          <m:brk m:alnAt="23"/>
                        </m:rPr>
                        <a:rPr lang="es-CL" sz="1600" b="0" i="1">
                          <a:latin typeface="Cambria Math" panose="02040503050406030204" pitchFamily="18" charset="0"/>
                          <a:ea typeface="Cambria Math" panose="02040503050406030204" pitchFamily="18" charset="0"/>
                        </a:rPr>
                        <m:t>0</m:t>
                      </m:r>
                    </m:sub>
                    <m:sup>
                      <m:r>
                        <a:rPr lang="es-CL" sz="1600" b="0" i="1">
                          <a:latin typeface="Cambria Math" panose="02040503050406030204" pitchFamily="18" charset="0"/>
                          <a:ea typeface="Cambria Math" panose="02040503050406030204" pitchFamily="18" charset="0"/>
                        </a:rPr>
                        <m:t>𝑋</m:t>
                      </m:r>
                    </m:sup>
                    <m:e>
                      <m:f>
                        <m:fPr>
                          <m:ctrlPr>
                            <a:rPr lang="es-CL" sz="1600" i="1">
                              <a:latin typeface="Cambria Math" panose="02040503050406030204" pitchFamily="18" charset="0"/>
                              <a:ea typeface="Cambria Math" panose="02040503050406030204" pitchFamily="18" charset="0"/>
                            </a:rPr>
                          </m:ctrlPr>
                        </m:fPr>
                        <m:num>
                          <m:r>
                            <a:rPr lang="es-CL" sz="1600" b="0" i="1">
                              <a:latin typeface="Cambria Math" panose="02040503050406030204" pitchFamily="18" charset="0"/>
                              <a:ea typeface="Cambria Math" panose="02040503050406030204" pitchFamily="18" charset="0"/>
                            </a:rPr>
                            <m:t>𝑑𝑥</m:t>
                          </m:r>
                        </m:num>
                        <m:den>
                          <m:r>
                            <a:rPr lang="es-CL" sz="1600" b="0" i="1">
                              <a:latin typeface="Cambria Math" panose="02040503050406030204" pitchFamily="18" charset="0"/>
                              <a:ea typeface="Cambria Math" panose="02040503050406030204" pitchFamily="18" charset="0"/>
                            </a:rPr>
                            <m:t>𝑘</m:t>
                          </m:r>
                          <m:sSub>
                            <m:sSubPr>
                              <m:ctrlPr>
                                <a:rPr lang="es-CL" sz="1600" b="0" i="1">
                                  <a:latin typeface="Cambria Math" panose="02040503050406030204" pitchFamily="18" charset="0"/>
                                  <a:ea typeface="Cambria Math" panose="02040503050406030204" pitchFamily="18" charset="0"/>
                                </a:rPr>
                              </m:ctrlPr>
                            </m:sSubPr>
                            <m:e>
                              <m:r>
                                <a:rPr lang="es-CL" sz="1600" b="0" i="1">
                                  <a:latin typeface="Cambria Math" panose="02040503050406030204" pitchFamily="18" charset="0"/>
                                  <a:ea typeface="Cambria Math" panose="02040503050406030204" pitchFamily="18" charset="0"/>
                                </a:rPr>
                                <m:t>𝐶𝑎</m:t>
                              </m:r>
                            </m:e>
                            <m:sub>
                              <m:r>
                                <a:rPr lang="es-CL" sz="1600" b="0" i="1">
                                  <a:latin typeface="Cambria Math" panose="02040503050406030204" pitchFamily="18" charset="0"/>
                                  <a:ea typeface="Cambria Math" panose="02040503050406030204" pitchFamily="18" charset="0"/>
                                </a:rPr>
                                <m:t>0</m:t>
                              </m:r>
                            </m:sub>
                          </m:sSub>
                          <m:r>
                            <a:rPr lang="es-CL" sz="1600" b="0" i="1">
                              <a:latin typeface="Cambria Math" panose="02040503050406030204" pitchFamily="18" charset="0"/>
                              <a:ea typeface="Cambria Math" panose="02040503050406030204" pitchFamily="18" charset="0"/>
                            </a:rPr>
                            <m:t>(1−</m:t>
                          </m:r>
                          <m:r>
                            <a:rPr lang="es-CL" sz="1600" b="0" i="1">
                              <a:latin typeface="Cambria Math" panose="02040503050406030204" pitchFamily="18" charset="0"/>
                              <a:ea typeface="Cambria Math" panose="02040503050406030204" pitchFamily="18" charset="0"/>
                            </a:rPr>
                            <m:t>𝑥</m:t>
                          </m:r>
                          <m:r>
                            <a:rPr lang="es-CL" sz="1600" b="0" i="1">
                              <a:latin typeface="Cambria Math" panose="02040503050406030204" pitchFamily="18" charset="0"/>
                              <a:ea typeface="Cambria Math" panose="02040503050406030204" pitchFamily="18" charset="0"/>
                            </a:rPr>
                            <m:t>)(</m:t>
                          </m:r>
                          <m:sSub>
                            <m:sSubPr>
                              <m:ctrlPr>
                                <a:rPr lang="es-CL" sz="1600" b="0" i="1">
                                  <a:latin typeface="Cambria Math" panose="02040503050406030204" pitchFamily="18" charset="0"/>
                                  <a:ea typeface="Cambria Math" panose="02040503050406030204" pitchFamily="18" charset="0"/>
                                </a:rPr>
                              </m:ctrlPr>
                            </m:sSubPr>
                            <m:e>
                              <m:r>
                                <a:rPr lang="es-CL" sz="1600" b="0" i="1">
                                  <a:latin typeface="Cambria Math" panose="02040503050406030204" pitchFamily="18" charset="0"/>
                                  <a:ea typeface="Cambria Math" panose="02040503050406030204" pitchFamily="18" charset="0"/>
                                </a:rPr>
                                <m:t>𝐶𝑏</m:t>
                              </m:r>
                            </m:e>
                            <m:sub>
                              <m:r>
                                <a:rPr lang="es-CL" sz="1600" b="0" i="1">
                                  <a:latin typeface="Cambria Math" panose="02040503050406030204" pitchFamily="18" charset="0"/>
                                  <a:ea typeface="Cambria Math" panose="02040503050406030204" pitchFamily="18" charset="0"/>
                                </a:rPr>
                                <m:t>0</m:t>
                              </m:r>
                            </m:sub>
                          </m:sSub>
                          <m:r>
                            <a:rPr lang="es-CL" sz="1600" b="0" i="1">
                              <a:latin typeface="Cambria Math" panose="02040503050406030204" pitchFamily="18" charset="0"/>
                              <a:ea typeface="Cambria Math" panose="02040503050406030204" pitchFamily="18" charset="0"/>
                            </a:rPr>
                            <m:t>−</m:t>
                          </m:r>
                          <m:sSub>
                            <m:sSubPr>
                              <m:ctrlPr>
                                <a:rPr lang="es-CL" sz="1600" b="0" i="1">
                                  <a:latin typeface="Cambria Math" panose="02040503050406030204" pitchFamily="18" charset="0"/>
                                  <a:ea typeface="Cambria Math" panose="02040503050406030204" pitchFamily="18" charset="0"/>
                                </a:rPr>
                              </m:ctrlPr>
                            </m:sSubPr>
                            <m:e>
                              <m:r>
                                <a:rPr lang="es-CL" sz="1600" b="0" i="1">
                                  <a:latin typeface="Cambria Math" panose="02040503050406030204" pitchFamily="18" charset="0"/>
                                  <a:ea typeface="Cambria Math" panose="02040503050406030204" pitchFamily="18" charset="0"/>
                                </a:rPr>
                                <m:t>𝐶𝑎</m:t>
                              </m:r>
                            </m:e>
                            <m:sub>
                              <m:r>
                                <a:rPr lang="es-CL" sz="1600" b="0" i="1">
                                  <a:latin typeface="Cambria Math" panose="02040503050406030204" pitchFamily="18" charset="0"/>
                                  <a:ea typeface="Cambria Math" panose="02040503050406030204" pitchFamily="18" charset="0"/>
                                </a:rPr>
                                <m:t>0</m:t>
                              </m:r>
                            </m:sub>
                          </m:sSub>
                          <m:r>
                            <a:rPr lang="es-CL" sz="1600" b="0" i="1">
                              <a:latin typeface="Cambria Math" panose="02040503050406030204" pitchFamily="18" charset="0"/>
                              <a:ea typeface="Cambria Math" panose="02040503050406030204" pitchFamily="18" charset="0"/>
                            </a:rPr>
                            <m:t>𝑥</m:t>
                          </m:r>
                          <m:r>
                            <a:rPr lang="es-CL" sz="1600" b="0" i="1">
                              <a:latin typeface="Cambria Math" panose="02040503050406030204" pitchFamily="18" charset="0"/>
                              <a:ea typeface="Cambria Math" panose="02040503050406030204" pitchFamily="18" charset="0"/>
                            </a:rPr>
                            <m:t>)</m:t>
                          </m:r>
                        </m:den>
                      </m:f>
                    </m:e>
                  </m:nary>
                </m:oMath>
              </a14:m>
              <a:endParaRPr lang="es-CL" sz="11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8C776993-7EAA-4DA7-8F44-98F87C71027F}"/>
                </a:ext>
              </a:extLst>
            </xdr:cNvPr>
            <xdr:cNvSpPr txBox="1"/>
          </xdr:nvSpPr>
          <xdr:spPr>
            <a:xfrm>
              <a:off x="8473440" y="410527"/>
              <a:ext cx="2298706" cy="3863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100">
                  <a:latin typeface="Cambria Math" panose="02040503050406030204" pitchFamily="18" charset="0"/>
                  <a:ea typeface="Cambria Math" panose="02040503050406030204" pitchFamily="18" charset="0"/>
                </a:rPr>
                <a:t>V=</a:t>
              </a:r>
              <a:r>
                <a:rPr lang="es-CL" sz="1600" b="0" i="0">
                  <a:latin typeface="Cambria Math" panose="02040503050406030204" pitchFamily="18" charset="0"/>
                  <a:ea typeface="Cambria Math" panose="02040503050406030204" pitchFamily="18" charset="0"/>
                </a:rPr>
                <a:t>𝐹_0 </a:t>
              </a:r>
              <a:r>
                <a:rPr lang="es-CL" sz="1600" i="0">
                  <a:latin typeface="Cambria Math" panose="02040503050406030204" pitchFamily="18" charset="0"/>
                  <a:ea typeface="Cambria Math" panose="02040503050406030204" pitchFamily="18" charset="0"/>
                </a:rPr>
                <a:t>∫24_</a:t>
              </a:r>
              <a:r>
                <a:rPr lang="es-CL" sz="1600" b="0" i="0">
                  <a:latin typeface="Cambria Math" panose="02040503050406030204" pitchFamily="18" charset="0"/>
                  <a:ea typeface="Cambria Math" panose="02040503050406030204" pitchFamily="18" charset="0"/>
                </a:rPr>
                <a:t>0^𝑋▒𝑑𝑥/(𝑘〖𝐶𝑎〗_0 (1−𝑥)(〖𝐶𝑏〗_0−〖𝐶𝑎〗_0 𝑥))</a:t>
              </a:r>
              <a:endParaRPr lang="es-CL" sz="1100">
                <a:latin typeface="Cambria Math" panose="02040503050406030204" pitchFamily="18" charset="0"/>
                <a:ea typeface="Cambria Math" panose="02040503050406030204" pitchFamily="18" charset="0"/>
              </a:endParaRPr>
            </a:p>
          </xdr:txBody>
        </xdr:sp>
      </mc:Fallback>
    </mc:AlternateContent>
    <xdr:clientData/>
  </xdr:oneCellAnchor>
  <xdr:oneCellAnchor>
    <xdr:from>
      <xdr:col>4</xdr:col>
      <xdr:colOff>2324100</xdr:colOff>
      <xdr:row>8</xdr:row>
      <xdr:rowOff>8572</xdr:rowOff>
    </xdr:from>
    <xdr:ext cx="1577418" cy="172227"/>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F018D570-17E8-4950-A7BA-A99F5830ADC1}"/>
                </a:ext>
                <a:ext uri="{147F2762-F138-4A5C-976F-8EAC2B608ADB}">
                  <a16:predDERef xmlns:a16="http://schemas.microsoft.com/office/drawing/2014/main" pred="{8C776993-7EAA-4DA7-8F44-98F87C71027F}"/>
                </a:ext>
              </a:extLst>
            </xdr:cNvPr>
            <xdr:cNvSpPr txBox="1"/>
          </xdr:nvSpPr>
          <xdr:spPr>
            <a:xfrm>
              <a:off x="8663940" y="1486852"/>
              <a:ext cx="1577418"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i="1">
                            <a:latin typeface="Cambria Math" panose="02040503050406030204" pitchFamily="18" charset="0"/>
                          </a:rPr>
                        </m:ctrlPr>
                      </m:sSubPr>
                      <m:e>
                        <m:r>
                          <a:rPr lang="es-CL" sz="1100" b="0" i="1">
                            <a:latin typeface="Cambria Math" panose="02040503050406030204" pitchFamily="18" charset="0"/>
                          </a:rPr>
                          <m:t>𝐶</m:t>
                        </m:r>
                      </m:e>
                      <m:sub>
                        <m:r>
                          <a:rPr lang="es-CL" sz="1100" b="0" i="1">
                            <a:latin typeface="Cambria Math" panose="02040503050406030204" pitchFamily="18" charset="0"/>
                          </a:rPr>
                          <m:t>2</m:t>
                        </m:r>
                      </m:sub>
                    </m:sSub>
                    <m:sSub>
                      <m:sSubPr>
                        <m:ctrlPr>
                          <a:rPr lang="es-CL" sz="1100" i="1">
                            <a:latin typeface="Cambria Math" panose="02040503050406030204" pitchFamily="18" charset="0"/>
                          </a:rPr>
                        </m:ctrlPr>
                      </m:sSubPr>
                      <m:e>
                        <m:r>
                          <a:rPr lang="es-CL" sz="1100" b="0" i="1">
                            <a:latin typeface="Cambria Math" panose="02040503050406030204" pitchFamily="18" charset="0"/>
                          </a:rPr>
                          <m:t>𝐻</m:t>
                        </m:r>
                      </m:e>
                      <m:sub>
                        <m:r>
                          <a:rPr lang="es-CL" sz="1100" b="0" i="1">
                            <a:latin typeface="Cambria Math" panose="02040503050406030204" pitchFamily="18" charset="0"/>
                          </a:rPr>
                          <m:t>5</m:t>
                        </m:r>
                      </m:sub>
                    </m:sSub>
                    <m:r>
                      <a:rPr lang="es-CL" sz="1100" b="0" i="1">
                        <a:latin typeface="Cambria Math" panose="02040503050406030204" pitchFamily="18" charset="0"/>
                      </a:rPr>
                      <m:t>𝑁𝑂</m:t>
                    </m:r>
                    <m:r>
                      <a:rPr lang="es-CL" sz="1100" b="0" i="1">
                        <a:latin typeface="Cambria Math" panose="02040503050406030204" pitchFamily="18" charset="0"/>
                      </a:rPr>
                      <m:t>+2 </m:t>
                    </m:r>
                    <m:r>
                      <a:rPr lang="es-CL" sz="1100" b="0" i="1">
                        <a:latin typeface="Cambria Math" panose="02040503050406030204" pitchFamily="18" charset="0"/>
                      </a:rPr>
                      <m:t>𝐻𝑂𝐶𝑙</m:t>
                    </m:r>
                    <m:r>
                      <a:rPr lang="es-CL" sz="1100" b="0" i="1">
                        <a:latin typeface="Cambria Math" panose="02040503050406030204" pitchFamily="18" charset="0"/>
                      </a:rPr>
                      <m:t> →</m:t>
                    </m:r>
                    <m:r>
                      <a:rPr lang="es-CL" sz="1100" b="0" i="1">
                        <a:latin typeface="Cambria Math" panose="02040503050406030204" pitchFamily="18" charset="0"/>
                        <a:ea typeface="Cambria Math" panose="02040503050406030204" pitchFamily="18" charset="0"/>
                      </a:rPr>
                      <m:t>𝐵𝑙</m:t>
                    </m:r>
                    <m:r>
                      <a:rPr lang="es-CL" sz="1100" b="0" i="1">
                        <a:latin typeface="Cambria Math" panose="02040503050406030204" pitchFamily="18" charset="0"/>
                        <a:ea typeface="Cambria Math" panose="02040503050406030204" pitchFamily="18" charset="0"/>
                      </a:rPr>
                      <m:t>á</m:t>
                    </m:r>
                  </m:oMath>
                </m:oMathPara>
              </a14:m>
              <a:endParaRPr lang="es-CL" sz="1100"/>
            </a:p>
          </xdr:txBody>
        </xdr:sp>
      </mc:Choice>
      <mc:Fallback xmlns="">
        <xdr:sp macro="" textlink="">
          <xdr:nvSpPr>
            <xdr:cNvPr id="4" name="CuadroTexto 3">
              <a:extLst>
                <a:ext uri="{FF2B5EF4-FFF2-40B4-BE49-F238E27FC236}">
                  <a16:creationId xmlns:a16="http://schemas.microsoft.com/office/drawing/2014/main" id="{F018D570-17E8-4950-A7BA-A99F5830ADC1}"/>
                </a:ext>
                <a:ext uri="{147F2762-F138-4A5C-976F-8EAC2B608ADB}">
                  <a16:predDERef xmlns:a16="http://schemas.microsoft.com/office/drawing/2014/main" pred="{8C776993-7EAA-4DA7-8F44-98F87C71027F}"/>
                </a:ext>
              </a:extLst>
            </xdr:cNvPr>
            <xdr:cNvSpPr txBox="1"/>
          </xdr:nvSpPr>
          <xdr:spPr>
            <a:xfrm>
              <a:off x="8663940" y="1486852"/>
              <a:ext cx="1577418"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L" sz="1100" b="0" i="0">
                  <a:latin typeface="Cambria Math" panose="02040503050406030204" pitchFamily="18" charset="0"/>
                </a:rPr>
                <a:t>𝐶_2 𝐻_5 𝑁𝑂+2 𝐻𝑂𝐶𝑙 →</a:t>
              </a:r>
              <a:r>
                <a:rPr lang="es-CL" sz="1100" b="0" i="0">
                  <a:latin typeface="Cambria Math" panose="02040503050406030204" pitchFamily="18" charset="0"/>
                  <a:ea typeface="Cambria Math" panose="02040503050406030204" pitchFamily="18" charset="0"/>
                </a:rPr>
                <a:t>𝐵𝑙á</a:t>
              </a:r>
              <a:endParaRPr lang="es-CL" sz="1100"/>
            </a:p>
          </xdr:txBody>
        </xdr:sp>
      </mc:Fallback>
    </mc:AlternateContent>
    <xdr:clientData/>
  </xdr:oneCellAnchor>
  <xdr:twoCellAnchor editAs="oneCell">
    <xdr:from>
      <xdr:col>0</xdr:col>
      <xdr:colOff>1212273</xdr:colOff>
      <xdr:row>2</xdr:row>
      <xdr:rowOff>0</xdr:rowOff>
    </xdr:from>
    <xdr:to>
      <xdr:col>1</xdr:col>
      <xdr:colOff>23855</xdr:colOff>
      <xdr:row>12</xdr:row>
      <xdr:rowOff>1490</xdr:rowOff>
    </xdr:to>
    <xdr:pic>
      <xdr:nvPicPr>
        <xdr:cNvPr id="7" name="Imagen 6">
          <a:extLst>
            <a:ext uri="{FF2B5EF4-FFF2-40B4-BE49-F238E27FC236}">
              <a16:creationId xmlns:a16="http://schemas.microsoft.com/office/drawing/2014/main" id="{B7E7B66F-D510-40B7-819A-196A739B1384}"/>
            </a:ext>
          </a:extLst>
        </xdr:cNvPr>
        <xdr:cNvPicPr>
          <a:picLocks noChangeAspect="1"/>
        </xdr:cNvPicPr>
      </xdr:nvPicPr>
      <xdr:blipFill>
        <a:blip xmlns:r="http://schemas.openxmlformats.org/officeDocument/2006/relationships" r:embed="rId1"/>
        <a:stretch>
          <a:fillRect/>
        </a:stretch>
      </xdr:blipFill>
      <xdr:spPr>
        <a:xfrm>
          <a:off x="1212273" y="381000"/>
          <a:ext cx="3123809" cy="1933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20</xdr:col>
      <xdr:colOff>82450</xdr:colOff>
      <xdr:row>1</xdr:row>
      <xdr:rowOff>115349</xdr:rowOff>
    </xdr:from>
    <xdr:to>
      <xdr:col>29</xdr:col>
      <xdr:colOff>516614</xdr:colOff>
      <xdr:row>15</xdr:row>
      <xdr:rowOff>71833</xdr:rowOff>
    </xdr:to>
    <xdr:pic>
      <xdr:nvPicPr>
        <xdr:cNvPr id="2" name="Imagen 2">
          <a:extLst>
            <a:ext uri="{FF2B5EF4-FFF2-40B4-BE49-F238E27FC236}">
              <a16:creationId xmlns:a16="http://schemas.microsoft.com/office/drawing/2014/main" id="{9EF79943-C9B4-4900-8060-89BBD623FD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573606" y="305849"/>
          <a:ext cx="10959289" cy="5385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578375</xdr:colOff>
      <xdr:row>0</xdr:row>
      <xdr:rowOff>1</xdr:rowOff>
    </xdr:from>
    <xdr:to>
      <xdr:col>19</xdr:col>
      <xdr:colOff>342416</xdr:colOff>
      <xdr:row>14</xdr:row>
      <xdr:rowOff>95251</xdr:rowOff>
    </xdr:to>
    <xdr:pic>
      <xdr:nvPicPr>
        <xdr:cNvPr id="10" name="Imagen 9">
          <a:extLst>
            <a:ext uri="{FF2B5EF4-FFF2-40B4-BE49-F238E27FC236}">
              <a16:creationId xmlns:a16="http://schemas.microsoft.com/office/drawing/2014/main" id="{6C7E261A-2825-40AD-956B-22ED73B4DE14}"/>
            </a:ext>
          </a:extLst>
        </xdr:cNvPr>
        <xdr:cNvPicPr>
          <a:picLocks noChangeAspect="1"/>
        </xdr:cNvPicPr>
      </xdr:nvPicPr>
      <xdr:blipFill>
        <a:blip xmlns:r="http://schemas.openxmlformats.org/officeDocument/2006/relationships" r:embed="rId1"/>
        <a:stretch>
          <a:fillRect/>
        </a:stretch>
      </xdr:blipFill>
      <xdr:spPr>
        <a:xfrm>
          <a:off x="8524946" y="1"/>
          <a:ext cx="9125756" cy="33337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225797</xdr:colOff>
      <xdr:row>0</xdr:row>
      <xdr:rowOff>8361</xdr:rowOff>
    </xdr:from>
    <xdr:to>
      <xdr:col>18</xdr:col>
      <xdr:colOff>431222</xdr:colOff>
      <xdr:row>14</xdr:row>
      <xdr:rowOff>13277</xdr:rowOff>
    </xdr:to>
    <xdr:pic>
      <xdr:nvPicPr>
        <xdr:cNvPr id="8" name="Imagen 5">
          <a:extLst>
            <a:ext uri="{FF2B5EF4-FFF2-40B4-BE49-F238E27FC236}">
              <a16:creationId xmlns:a16="http://schemas.microsoft.com/office/drawing/2014/main" id="{FF232C03-4645-4846-93CA-E80C50F466AD}"/>
            </a:ext>
          </a:extLst>
        </xdr:cNvPr>
        <xdr:cNvPicPr>
          <a:picLocks noChangeAspect="1"/>
        </xdr:cNvPicPr>
      </xdr:nvPicPr>
      <xdr:blipFill>
        <a:blip xmlns:r="http://schemas.openxmlformats.org/officeDocument/2006/relationships" r:embed="rId1"/>
        <a:stretch>
          <a:fillRect/>
        </a:stretch>
      </xdr:blipFill>
      <xdr:spPr>
        <a:xfrm>
          <a:off x="5950719" y="8361"/>
          <a:ext cx="8609253" cy="320968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288846</xdr:colOff>
      <xdr:row>0</xdr:row>
      <xdr:rowOff>0</xdr:rowOff>
    </xdr:from>
    <xdr:to>
      <xdr:col>17</xdr:col>
      <xdr:colOff>415845</xdr:colOff>
      <xdr:row>12</xdr:row>
      <xdr:rowOff>190500</xdr:rowOff>
    </xdr:to>
    <xdr:pic>
      <xdr:nvPicPr>
        <xdr:cNvPr id="3" name="Imagen 2">
          <a:extLst>
            <a:ext uri="{FF2B5EF4-FFF2-40B4-BE49-F238E27FC236}">
              <a16:creationId xmlns:a16="http://schemas.microsoft.com/office/drawing/2014/main" id="{742CD1BA-8686-41B6-A811-009D6C52497B}"/>
            </a:ext>
          </a:extLst>
        </xdr:cNvPr>
        <xdr:cNvPicPr>
          <a:picLocks noChangeAspect="1"/>
        </xdr:cNvPicPr>
      </xdr:nvPicPr>
      <xdr:blipFill>
        <a:blip xmlns:r="http://schemas.openxmlformats.org/officeDocument/2006/relationships" r:embed="rId1"/>
        <a:stretch>
          <a:fillRect/>
        </a:stretch>
      </xdr:blipFill>
      <xdr:spPr>
        <a:xfrm>
          <a:off x="10260330" y="202168"/>
          <a:ext cx="7866062" cy="36016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1476375</xdr:colOff>
      <xdr:row>0</xdr:row>
      <xdr:rowOff>142875</xdr:rowOff>
    </xdr:from>
    <xdr:to>
      <xdr:col>4</xdr:col>
      <xdr:colOff>5089091</xdr:colOff>
      <xdr:row>4</xdr:row>
      <xdr:rowOff>171450</xdr:rowOff>
    </xdr:to>
    <xdr:pic>
      <xdr:nvPicPr>
        <xdr:cNvPr id="6" name="Imagen 18">
          <a:extLst>
            <a:ext uri="{FF2B5EF4-FFF2-40B4-BE49-F238E27FC236}">
              <a16:creationId xmlns:a16="http://schemas.microsoft.com/office/drawing/2014/main" id="{544C69D9-2A85-44B3-B4BE-A878B10D0BAE}"/>
            </a:ext>
            <a:ext uri="{147F2762-F138-4A5C-976F-8EAC2B608ADB}">
              <a16:predDERef xmlns:a16="http://schemas.microsoft.com/office/drawing/2014/main" pred="{CF60D031-CDD1-40BE-B840-5F2D3E06CF52}"/>
            </a:ext>
          </a:extLst>
        </xdr:cNvPr>
        <xdr:cNvPicPr>
          <a:picLocks noChangeAspect="1"/>
        </xdr:cNvPicPr>
      </xdr:nvPicPr>
      <xdr:blipFill>
        <a:blip xmlns:r="http://schemas.openxmlformats.org/officeDocument/2006/relationships" r:embed="rId1"/>
        <a:stretch>
          <a:fillRect/>
        </a:stretch>
      </xdr:blipFill>
      <xdr:spPr>
        <a:xfrm>
          <a:off x="8201025" y="142875"/>
          <a:ext cx="3620336" cy="777240"/>
        </a:xfrm>
        <a:prstGeom prst="rect">
          <a:avLst/>
        </a:prstGeom>
      </xdr:spPr>
    </xdr:pic>
    <xdr:clientData/>
  </xdr:twoCellAnchor>
  <xdr:twoCellAnchor editAs="oneCell">
    <xdr:from>
      <xdr:col>4</xdr:col>
      <xdr:colOff>57150</xdr:colOff>
      <xdr:row>6</xdr:row>
      <xdr:rowOff>142875</xdr:rowOff>
    </xdr:from>
    <xdr:to>
      <xdr:col>6</xdr:col>
      <xdr:colOff>304800</xdr:colOff>
      <xdr:row>10</xdr:row>
      <xdr:rowOff>163830</xdr:rowOff>
    </xdr:to>
    <xdr:pic>
      <xdr:nvPicPr>
        <xdr:cNvPr id="8" name="Imagen 7">
          <a:extLst>
            <a:ext uri="{FF2B5EF4-FFF2-40B4-BE49-F238E27FC236}">
              <a16:creationId xmlns:a16="http://schemas.microsoft.com/office/drawing/2014/main" id="{4730F8B1-BCCF-4B96-8794-0D144460A376}"/>
            </a:ext>
            <a:ext uri="{147F2762-F138-4A5C-976F-8EAC2B608ADB}">
              <a16:predDERef xmlns:a16="http://schemas.microsoft.com/office/drawing/2014/main" pred="{544C69D9-2A85-44B3-B4BE-A878B10D0BAE}"/>
            </a:ext>
          </a:extLst>
        </xdr:cNvPr>
        <xdr:cNvPicPr>
          <a:picLocks noChangeAspect="1"/>
        </xdr:cNvPicPr>
      </xdr:nvPicPr>
      <xdr:blipFill>
        <a:blip xmlns:r="http://schemas.openxmlformats.org/officeDocument/2006/relationships" r:embed="rId2"/>
        <a:stretch>
          <a:fillRect/>
        </a:stretch>
      </xdr:blipFill>
      <xdr:spPr>
        <a:xfrm>
          <a:off x="6781800" y="1238250"/>
          <a:ext cx="6343650" cy="752475"/>
        </a:xfrm>
        <a:prstGeom prst="rect">
          <a:avLst/>
        </a:prstGeom>
      </xdr:spPr>
    </xdr:pic>
    <xdr:clientData/>
  </xdr:twoCellAnchor>
  <xdr:twoCellAnchor editAs="oneCell">
    <xdr:from>
      <xdr:col>0</xdr:col>
      <xdr:colOff>1346638</xdr:colOff>
      <xdr:row>1</xdr:row>
      <xdr:rowOff>0</xdr:rowOff>
    </xdr:from>
    <xdr:to>
      <xdr:col>1</xdr:col>
      <xdr:colOff>218965</xdr:colOff>
      <xdr:row>11</xdr:row>
      <xdr:rowOff>142040</xdr:rowOff>
    </xdr:to>
    <xdr:pic>
      <xdr:nvPicPr>
        <xdr:cNvPr id="2" name="Imagen 1">
          <a:extLst>
            <a:ext uri="{FF2B5EF4-FFF2-40B4-BE49-F238E27FC236}">
              <a16:creationId xmlns:a16="http://schemas.microsoft.com/office/drawing/2014/main" id="{9AD399A7-D92A-4F7E-A873-DB43D137D884}"/>
            </a:ext>
          </a:extLst>
        </xdr:cNvPr>
        <xdr:cNvPicPr>
          <a:picLocks noChangeAspect="1"/>
        </xdr:cNvPicPr>
      </xdr:nvPicPr>
      <xdr:blipFill>
        <a:blip xmlns:r="http://schemas.openxmlformats.org/officeDocument/2006/relationships" r:embed="rId3"/>
        <a:stretch>
          <a:fillRect/>
        </a:stretch>
      </xdr:blipFill>
      <xdr:spPr>
        <a:xfrm>
          <a:off x="1346638" y="186121"/>
          <a:ext cx="3032672" cy="201419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4</xdr:col>
      <xdr:colOff>726441</xdr:colOff>
      <xdr:row>49</xdr:row>
      <xdr:rowOff>179805</xdr:rowOff>
    </xdr:from>
    <xdr:ext cx="2244313" cy="266611"/>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61083C5-825C-4DC1-A685-E86BD56A5193}"/>
                </a:ext>
              </a:extLst>
            </xdr:cNvPr>
            <xdr:cNvSpPr txBox="1"/>
          </xdr:nvSpPr>
          <xdr:spPr>
            <a:xfrm>
              <a:off x="5762948" y="11466278"/>
              <a:ext cx="2244313" cy="2666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600" b="0" i="1">
                            <a:latin typeface="Cambria Math" panose="02040503050406030204" pitchFamily="18" charset="0"/>
                          </a:rPr>
                        </m:ctrlPr>
                      </m:sSubPr>
                      <m:e>
                        <m:r>
                          <a:rPr lang="es-CL" sz="1600" b="0" i="1">
                            <a:latin typeface="Cambria Math" panose="02040503050406030204" pitchFamily="18" charset="0"/>
                          </a:rPr>
                          <m:t>𝑉</m:t>
                        </m:r>
                      </m:e>
                      <m:sub>
                        <m:r>
                          <a:rPr lang="es-CL" sz="1600" b="0" i="1">
                            <a:latin typeface="Cambria Math" panose="02040503050406030204" pitchFamily="18" charset="0"/>
                          </a:rPr>
                          <m:t>𝑎𝑔𝑢𝑎</m:t>
                        </m:r>
                      </m:sub>
                    </m:sSub>
                    <m:r>
                      <a:rPr lang="es-CL" sz="1600" b="0" i="1">
                        <a:latin typeface="Cambria Math" panose="02040503050406030204" pitchFamily="18" charset="0"/>
                      </a:rPr>
                      <m:t>=</m:t>
                    </m:r>
                    <m:sSub>
                      <m:sSubPr>
                        <m:ctrlPr>
                          <a:rPr lang="es-CL" sz="1600" b="0" i="1">
                            <a:latin typeface="Cambria Math" panose="02040503050406030204" pitchFamily="18" charset="0"/>
                          </a:rPr>
                        </m:ctrlPr>
                      </m:sSubPr>
                      <m:e>
                        <m:r>
                          <a:rPr lang="es-CL" sz="1600" b="0" i="1">
                            <a:latin typeface="Cambria Math" panose="02040503050406030204" pitchFamily="18" charset="0"/>
                          </a:rPr>
                          <m:t>𝑉</m:t>
                        </m:r>
                      </m:e>
                      <m:sub>
                        <m:r>
                          <a:rPr lang="es-CL" sz="1600" b="0" i="1">
                            <a:latin typeface="Cambria Math" panose="02040503050406030204" pitchFamily="18" charset="0"/>
                          </a:rPr>
                          <m:t>𝑝𝑒𝑝𝑎</m:t>
                        </m:r>
                      </m:sub>
                    </m:sSub>
                  </m:oMath>
                </m:oMathPara>
              </a14:m>
              <a:endParaRPr lang="es-CL" sz="1600"/>
            </a:p>
          </xdr:txBody>
        </xdr:sp>
      </mc:Choice>
      <mc:Fallback xmlns="">
        <xdr:sp macro="" textlink="">
          <xdr:nvSpPr>
            <xdr:cNvPr id="6" name="CuadroTexto 5">
              <a:extLst>
                <a:ext uri="{FF2B5EF4-FFF2-40B4-BE49-F238E27FC236}">
                  <a16:creationId xmlns:a16="http://schemas.microsoft.com/office/drawing/2014/main" id="{861083C5-825C-4DC1-A685-E86BD56A5193}"/>
                </a:ext>
              </a:extLst>
            </xdr:cNvPr>
            <xdr:cNvSpPr txBox="1"/>
          </xdr:nvSpPr>
          <xdr:spPr>
            <a:xfrm>
              <a:off x="5762948" y="11466278"/>
              <a:ext cx="2244313" cy="2666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L" sz="1600" b="0" i="0">
                  <a:latin typeface="Cambria Math" panose="02040503050406030204" pitchFamily="18" charset="0"/>
                </a:rPr>
                <a:t>𝑉_𝑎𝑔𝑢𝑎=𝑉_𝑝𝑒𝑝𝑎</a:t>
              </a:r>
              <a:endParaRPr lang="es-CL" sz="1600"/>
            </a:p>
          </xdr:txBody>
        </xdr:sp>
      </mc:Fallback>
    </mc:AlternateContent>
    <xdr:clientData/>
  </xdr:oneCellAnchor>
  <xdr:oneCellAnchor>
    <xdr:from>
      <xdr:col>4</xdr:col>
      <xdr:colOff>741788</xdr:colOff>
      <xdr:row>50</xdr:row>
      <xdr:rowOff>323096</xdr:rowOff>
    </xdr:from>
    <xdr:ext cx="2067489" cy="269817"/>
    <mc:AlternateContent xmlns:mc="http://schemas.openxmlformats.org/markup-compatibility/2006" xmlns:a14="http://schemas.microsoft.com/office/drawing/2010/main">
      <mc:Choice Requires="a14">
        <xdr:sp macro="" textlink="">
          <xdr:nvSpPr>
            <xdr:cNvPr id="8" name="CuadroTexto 7">
              <a:extLst>
                <a:ext uri="{FF2B5EF4-FFF2-40B4-BE49-F238E27FC236}">
                  <a16:creationId xmlns:a16="http://schemas.microsoft.com/office/drawing/2014/main" id="{2CA04689-35AB-483F-ABA5-EED5DA46CBA0}"/>
                </a:ext>
              </a:extLst>
            </xdr:cNvPr>
            <xdr:cNvSpPr txBox="1"/>
          </xdr:nvSpPr>
          <xdr:spPr>
            <a:xfrm>
              <a:off x="5932106" y="12560299"/>
              <a:ext cx="2067489" cy="2698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600" b="0" i="1">
                            <a:latin typeface="Cambria Math" panose="02040503050406030204" pitchFamily="18" charset="0"/>
                          </a:rPr>
                        </m:ctrlPr>
                      </m:sSubPr>
                      <m:e>
                        <m:r>
                          <a:rPr lang="es-CL" sz="1600" b="0" i="1">
                            <a:latin typeface="Cambria Math" panose="02040503050406030204" pitchFamily="18" charset="0"/>
                          </a:rPr>
                          <m:t>𝐹</m:t>
                        </m:r>
                      </m:e>
                      <m:sub>
                        <m:r>
                          <a:rPr lang="es-CL" sz="1600" b="0" i="1">
                            <a:latin typeface="Cambria Math" panose="02040503050406030204" pitchFamily="18" charset="0"/>
                          </a:rPr>
                          <m:t>𝑣𝑙𝑖𝑥𝑖𝑣𝑖𝑎𝑟</m:t>
                        </m:r>
                      </m:sub>
                    </m:sSub>
                    <m:r>
                      <a:rPr lang="es-CL" sz="1600" b="0" i="0">
                        <a:latin typeface="Cambria Math" panose="02040503050406030204" pitchFamily="18" charset="0"/>
                      </a:rPr>
                      <m:t>=</m:t>
                    </m:r>
                    <m:sSub>
                      <m:sSubPr>
                        <m:ctrlPr>
                          <a:rPr lang="es-CL" sz="1600" b="0" i="1">
                            <a:latin typeface="Cambria Math" panose="02040503050406030204" pitchFamily="18" charset="0"/>
                          </a:rPr>
                        </m:ctrlPr>
                      </m:sSubPr>
                      <m:e>
                        <m:r>
                          <m:rPr>
                            <m:sty m:val="p"/>
                          </m:rPr>
                          <a:rPr lang="es-CL" sz="1600" b="0" i="0">
                            <a:latin typeface="Cambria Math" panose="02040503050406030204" pitchFamily="18" charset="0"/>
                          </a:rPr>
                          <m:t>F</m:t>
                        </m:r>
                      </m:e>
                      <m:sub>
                        <m:r>
                          <m:rPr>
                            <m:sty m:val="p"/>
                          </m:rPr>
                          <a:rPr lang="es-CL" sz="1600" b="0" i="0">
                            <a:latin typeface="Cambria Math" panose="02040503050406030204" pitchFamily="18" charset="0"/>
                          </a:rPr>
                          <m:t>v</m:t>
                        </m:r>
                      </m:sub>
                    </m:sSub>
                    <m:r>
                      <a:rPr lang="es-CL" sz="1600" b="0" i="0">
                        <a:latin typeface="Cambria Math" panose="02040503050406030204" pitchFamily="18" charset="0"/>
                      </a:rPr>
                      <m:t>+</m:t>
                    </m:r>
                    <m:sSub>
                      <m:sSubPr>
                        <m:ctrlPr>
                          <a:rPr lang="es-CL" sz="1600" b="0" i="1">
                            <a:latin typeface="Cambria Math" panose="02040503050406030204" pitchFamily="18" charset="0"/>
                          </a:rPr>
                        </m:ctrlPr>
                      </m:sSubPr>
                      <m:e>
                        <m:r>
                          <m:rPr>
                            <m:sty m:val="p"/>
                          </m:rPr>
                          <a:rPr lang="es-CL" sz="1600" b="0" i="0">
                            <a:latin typeface="Cambria Math" panose="02040503050406030204" pitchFamily="18" charset="0"/>
                          </a:rPr>
                          <m:t>F</m:t>
                        </m:r>
                      </m:e>
                      <m:sub>
                        <m:r>
                          <m:rPr>
                            <m:sty m:val="p"/>
                          </m:rPr>
                          <a:rPr lang="es-CL" sz="1600" b="0" i="0">
                            <a:latin typeface="Cambria Math" panose="02040503050406030204" pitchFamily="18" charset="0"/>
                          </a:rPr>
                          <m:t>vagua</m:t>
                        </m:r>
                      </m:sub>
                    </m:sSub>
                  </m:oMath>
                </m:oMathPara>
              </a14:m>
              <a:endParaRPr lang="es-CL" sz="1600"/>
            </a:p>
          </xdr:txBody>
        </xdr:sp>
      </mc:Choice>
      <mc:Fallback xmlns="">
        <xdr:sp macro="" textlink="">
          <xdr:nvSpPr>
            <xdr:cNvPr id="8" name="CuadroTexto 7">
              <a:extLst>
                <a:ext uri="{FF2B5EF4-FFF2-40B4-BE49-F238E27FC236}">
                  <a16:creationId xmlns:a16="http://schemas.microsoft.com/office/drawing/2014/main" id="{2CA04689-35AB-483F-ABA5-EED5DA46CBA0}"/>
                </a:ext>
              </a:extLst>
            </xdr:cNvPr>
            <xdr:cNvSpPr txBox="1"/>
          </xdr:nvSpPr>
          <xdr:spPr>
            <a:xfrm>
              <a:off x="5932106" y="12560299"/>
              <a:ext cx="2067489" cy="2698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600" b="0" i="0">
                  <a:latin typeface="Cambria Math" panose="02040503050406030204" pitchFamily="18" charset="0"/>
                </a:rPr>
                <a:t>𝐹_𝑣𝑙𝑖𝑥𝑖𝑣𝑖𝑎𝑟=F_v+F_vagua</a:t>
              </a:r>
              <a:endParaRPr lang="es-CL" sz="1600"/>
            </a:p>
          </xdr:txBody>
        </xdr:sp>
      </mc:Fallback>
    </mc:AlternateContent>
    <xdr:clientData/>
  </xdr:oneCellAnchor>
  <xdr:oneCellAnchor>
    <xdr:from>
      <xdr:col>4</xdr:col>
      <xdr:colOff>442712</xdr:colOff>
      <xdr:row>51</xdr:row>
      <xdr:rowOff>214649</xdr:rowOff>
    </xdr:from>
    <xdr:ext cx="3058732" cy="516039"/>
    <mc:AlternateContent xmlns:mc="http://schemas.openxmlformats.org/markup-compatibility/2006" xmlns:a14="http://schemas.microsoft.com/office/drawing/2010/main">
      <mc:Choice Requires="a14">
        <xdr:sp macro="" textlink="">
          <xdr:nvSpPr>
            <xdr:cNvPr id="9" name="CuadroTexto 8">
              <a:extLst>
                <a:ext uri="{FF2B5EF4-FFF2-40B4-BE49-F238E27FC236}">
                  <a16:creationId xmlns:a16="http://schemas.microsoft.com/office/drawing/2014/main" id="{E123BE74-9317-4C3C-B795-39F40DD45B3A}"/>
                </a:ext>
              </a:extLst>
            </xdr:cNvPr>
            <xdr:cNvSpPr txBox="1"/>
          </xdr:nvSpPr>
          <xdr:spPr>
            <a:xfrm>
              <a:off x="5479219" y="12910300"/>
              <a:ext cx="3058732" cy="5160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600" b="0" i="1">
                            <a:latin typeface="Cambria Math" panose="02040503050406030204" pitchFamily="18" charset="0"/>
                          </a:rPr>
                        </m:ctrlPr>
                      </m:sSubPr>
                      <m:e>
                        <m:r>
                          <a:rPr lang="es-CL" sz="1600" b="0" i="1">
                            <a:latin typeface="Cambria Math" panose="02040503050406030204" pitchFamily="18" charset="0"/>
                          </a:rPr>
                          <m:t>𝐹</m:t>
                        </m:r>
                      </m:e>
                      <m:sub>
                        <m:r>
                          <a:rPr lang="es-CL" sz="1600" b="0" i="1">
                            <a:latin typeface="Cambria Math" panose="02040503050406030204" pitchFamily="18" charset="0"/>
                          </a:rPr>
                          <m:t>𝑎𝑛𝑡𝑖</m:t>
                        </m:r>
                        <m:r>
                          <a:rPr lang="es-CL" sz="1600" b="0" i="1">
                            <a:latin typeface="Cambria Math" panose="02040503050406030204" pitchFamily="18" charset="0"/>
                          </a:rPr>
                          <m:t>0</m:t>
                        </m:r>
                      </m:sub>
                    </m:sSub>
                    <m:r>
                      <a:rPr lang="es-CL" sz="1600" b="0" i="1">
                        <a:latin typeface="Cambria Math" panose="02040503050406030204" pitchFamily="18" charset="0"/>
                      </a:rPr>
                      <m:t>=</m:t>
                    </m:r>
                    <m:sSub>
                      <m:sSubPr>
                        <m:ctrlPr>
                          <a:rPr lang="es-CL" sz="1600" b="0" i="1">
                            <a:latin typeface="Cambria Math" panose="02040503050406030204" pitchFamily="18" charset="0"/>
                          </a:rPr>
                        </m:ctrlPr>
                      </m:sSubPr>
                      <m:e>
                        <m:r>
                          <a:rPr lang="es-CL" sz="1600" b="0" i="1">
                            <a:latin typeface="Cambria Math" panose="02040503050406030204" pitchFamily="18" charset="0"/>
                          </a:rPr>
                          <m:t>𝐹</m:t>
                        </m:r>
                      </m:e>
                      <m:sub>
                        <m:r>
                          <a:rPr lang="es-CL" sz="1600" b="0" i="1">
                            <a:latin typeface="Cambria Math" panose="02040503050406030204" pitchFamily="18" charset="0"/>
                          </a:rPr>
                          <m:t>𝑝𝑒𝑝𝑎</m:t>
                        </m:r>
                      </m:sub>
                    </m:sSub>
                    <m:r>
                      <a:rPr lang="es-CL" sz="1600" b="0" i="1">
                        <a:latin typeface="Cambria Math" panose="02040503050406030204" pitchFamily="18" charset="0"/>
                      </a:rPr>
                      <m:t> ∙</m:t>
                    </m:r>
                    <m:sSub>
                      <m:sSubPr>
                        <m:ctrlPr>
                          <a:rPr lang="es-CL" sz="1600" b="0" i="1">
                            <a:latin typeface="Cambria Math" panose="02040503050406030204" pitchFamily="18" charset="0"/>
                          </a:rPr>
                        </m:ctrlPr>
                      </m:sSubPr>
                      <m:e>
                        <m:r>
                          <a:rPr lang="es-CL" sz="1600" b="0" i="1">
                            <a:latin typeface="Cambria Math" panose="02040503050406030204" pitchFamily="18" charset="0"/>
                          </a:rPr>
                          <m:t>%</m:t>
                        </m:r>
                      </m:e>
                      <m:sub>
                        <m:r>
                          <a:rPr lang="es-CL" sz="1600" b="0" i="1">
                            <a:latin typeface="Cambria Math" panose="02040503050406030204" pitchFamily="18" charset="0"/>
                          </a:rPr>
                          <m:t>𝐴𝐹</m:t>
                        </m:r>
                      </m:sub>
                    </m:sSub>
                  </m:oMath>
                </m:oMathPara>
              </a14:m>
              <a:endParaRPr lang="es-CL" sz="1600" b="0"/>
            </a:p>
            <a:p>
              <a:endParaRPr lang="es-CL" sz="1600"/>
            </a:p>
          </xdr:txBody>
        </xdr:sp>
      </mc:Choice>
      <mc:Fallback xmlns="">
        <xdr:sp macro="" textlink="">
          <xdr:nvSpPr>
            <xdr:cNvPr id="9" name="CuadroTexto 8">
              <a:extLst>
                <a:ext uri="{FF2B5EF4-FFF2-40B4-BE49-F238E27FC236}">
                  <a16:creationId xmlns:a16="http://schemas.microsoft.com/office/drawing/2014/main" id="{E123BE74-9317-4C3C-B795-39F40DD45B3A}"/>
                </a:ext>
              </a:extLst>
            </xdr:cNvPr>
            <xdr:cNvSpPr txBox="1"/>
          </xdr:nvSpPr>
          <xdr:spPr>
            <a:xfrm>
              <a:off x="5479219" y="12910300"/>
              <a:ext cx="3058732" cy="5160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L" sz="1600" b="0" i="0">
                  <a:latin typeface="Cambria Math" panose="02040503050406030204" pitchFamily="18" charset="0"/>
                </a:rPr>
                <a:t>𝐹_𝑎𝑛𝑡𝑖0=𝐹_𝑝𝑒𝑝𝑎  ∙%_𝐴𝐹</a:t>
              </a:r>
              <a:endParaRPr lang="es-CL" sz="1600" b="0"/>
            </a:p>
            <a:p>
              <a:endParaRPr lang="es-CL" sz="1600"/>
            </a:p>
          </xdr:txBody>
        </xdr:sp>
      </mc:Fallback>
    </mc:AlternateContent>
    <xdr:clientData/>
  </xdr:oneCellAnchor>
  <xdr:oneCellAnchor>
    <xdr:from>
      <xdr:col>4</xdr:col>
      <xdr:colOff>523204</xdr:colOff>
      <xdr:row>52</xdr:row>
      <xdr:rowOff>187817</xdr:rowOff>
    </xdr:from>
    <xdr:ext cx="3058732" cy="500906"/>
    <mc:AlternateContent xmlns:mc="http://schemas.openxmlformats.org/markup-compatibility/2006" xmlns:a14="http://schemas.microsoft.com/office/drawing/2010/main">
      <mc:Choice Requires="a14">
        <xdr:sp macro="" textlink="">
          <xdr:nvSpPr>
            <xdr:cNvPr id="10" name="CuadroTexto 9">
              <a:extLst>
                <a:ext uri="{FF2B5EF4-FFF2-40B4-BE49-F238E27FC236}">
                  <a16:creationId xmlns:a16="http://schemas.microsoft.com/office/drawing/2014/main" id="{83DF17D0-F6E3-45B7-9637-B4F1E99F0CF7}"/>
                </a:ext>
              </a:extLst>
            </xdr:cNvPr>
            <xdr:cNvSpPr txBox="1"/>
          </xdr:nvSpPr>
          <xdr:spPr>
            <a:xfrm>
              <a:off x="5715000" y="13750880"/>
              <a:ext cx="3058732" cy="500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600" b="0" i="1">
                            <a:latin typeface="Cambria Math" panose="02040503050406030204" pitchFamily="18" charset="0"/>
                          </a:rPr>
                        </m:ctrlPr>
                      </m:sSubPr>
                      <m:e>
                        <m:r>
                          <a:rPr lang="es-CL" sz="1600" b="0" i="1">
                            <a:latin typeface="Cambria Math" panose="02040503050406030204" pitchFamily="18" charset="0"/>
                          </a:rPr>
                          <m:t>𝐹</m:t>
                        </m:r>
                      </m:e>
                      <m:sub>
                        <m:r>
                          <a:rPr lang="es-CL" sz="1600" b="0" i="1">
                            <a:latin typeface="Cambria Math" panose="02040503050406030204" pitchFamily="18" charset="0"/>
                          </a:rPr>
                          <m:t>𝑎𝑛𝑡𝑖</m:t>
                        </m:r>
                      </m:sub>
                    </m:sSub>
                    <m:r>
                      <a:rPr lang="es-CL" sz="1600" b="0" i="1">
                        <a:latin typeface="Cambria Math" panose="02040503050406030204" pitchFamily="18" charset="0"/>
                      </a:rPr>
                      <m:t>=</m:t>
                    </m:r>
                    <m:r>
                      <a:rPr lang="es-CL" sz="1600" b="0" i="1">
                        <a:latin typeface="Cambria Math" panose="02040503050406030204" pitchFamily="18" charset="0"/>
                      </a:rPr>
                      <m:t>𝑀𝑎𝑠𝑎</m:t>
                    </m:r>
                    <m:r>
                      <a:rPr lang="es-CL" sz="1600" b="0" i="1">
                        <a:latin typeface="Cambria Math" panose="02040503050406030204" pitchFamily="18" charset="0"/>
                      </a:rPr>
                      <m:t> </m:t>
                    </m:r>
                    <m:r>
                      <a:rPr lang="es-CL" sz="1600" b="0" i="1">
                        <a:latin typeface="Cambria Math" panose="02040503050406030204" pitchFamily="18" charset="0"/>
                      </a:rPr>
                      <m:t>𝑝𝑒𝑝𝑎</m:t>
                    </m:r>
                    <m:r>
                      <a:rPr lang="es-CL" sz="1600" b="0" i="1">
                        <a:latin typeface="Cambria Math" panose="02040503050406030204" pitchFamily="18" charset="0"/>
                      </a:rPr>
                      <m:t> ∙</m:t>
                    </m:r>
                    <m:sSub>
                      <m:sSubPr>
                        <m:ctrlPr>
                          <a:rPr lang="es-CL" sz="1600" b="0" i="1">
                            <a:latin typeface="Cambria Math" panose="02040503050406030204" pitchFamily="18" charset="0"/>
                          </a:rPr>
                        </m:ctrlPr>
                      </m:sSubPr>
                      <m:e>
                        <m:r>
                          <a:rPr lang="es-CL" sz="1600" b="0" i="1">
                            <a:latin typeface="Cambria Math" panose="02040503050406030204" pitchFamily="18" charset="0"/>
                          </a:rPr>
                          <m:t>%</m:t>
                        </m:r>
                      </m:e>
                      <m:sub>
                        <m:r>
                          <a:rPr lang="es-CL" sz="1600" b="0" i="1">
                            <a:latin typeface="Cambria Math" panose="02040503050406030204" pitchFamily="18" charset="0"/>
                          </a:rPr>
                          <m:t>𝐴𝐹𝑃</m:t>
                        </m:r>
                      </m:sub>
                    </m:sSub>
                  </m:oMath>
                </m:oMathPara>
              </a14:m>
              <a:endParaRPr lang="es-CL" sz="1600" b="0"/>
            </a:p>
            <a:p>
              <a:endParaRPr lang="es-CL" sz="1600"/>
            </a:p>
          </xdr:txBody>
        </xdr:sp>
      </mc:Choice>
      <mc:Fallback xmlns="">
        <xdr:sp macro="" textlink="">
          <xdr:nvSpPr>
            <xdr:cNvPr id="10" name="CuadroTexto 9">
              <a:extLst>
                <a:ext uri="{FF2B5EF4-FFF2-40B4-BE49-F238E27FC236}">
                  <a16:creationId xmlns:a16="http://schemas.microsoft.com/office/drawing/2014/main" id="{83DF17D0-F6E3-45B7-9637-B4F1E99F0CF7}"/>
                </a:ext>
              </a:extLst>
            </xdr:cNvPr>
            <xdr:cNvSpPr txBox="1"/>
          </xdr:nvSpPr>
          <xdr:spPr>
            <a:xfrm>
              <a:off x="5715000" y="13750880"/>
              <a:ext cx="3058732" cy="500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L" sz="1600" b="0" i="0">
                  <a:latin typeface="Cambria Math" panose="02040503050406030204" pitchFamily="18" charset="0"/>
                </a:rPr>
                <a:t>𝐹_𝑎𝑛𝑡𝑖=𝑀𝑎𝑠𝑎 𝑝𝑒𝑝𝑎 ∙%_𝐴𝐹𝑃</a:t>
              </a:r>
              <a:endParaRPr lang="es-CL" sz="1600" b="0"/>
            </a:p>
            <a:p>
              <a:endParaRPr lang="es-CL" sz="1600"/>
            </a:p>
          </xdr:txBody>
        </xdr:sp>
      </mc:Fallback>
    </mc:AlternateContent>
    <xdr:clientData/>
  </xdr:oneCellAnchor>
  <xdr:oneCellAnchor>
    <xdr:from>
      <xdr:col>4</xdr:col>
      <xdr:colOff>22429</xdr:colOff>
      <xdr:row>53</xdr:row>
      <xdr:rowOff>357187</xdr:rowOff>
    </xdr:from>
    <xdr:ext cx="6540892" cy="762453"/>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C052DFDD-3760-4BCF-BD76-486F50B8FBDE}"/>
                </a:ext>
              </a:extLst>
            </xdr:cNvPr>
            <xdr:cNvSpPr txBox="1"/>
          </xdr:nvSpPr>
          <xdr:spPr>
            <a:xfrm>
              <a:off x="5752312" y="14480976"/>
              <a:ext cx="6540892" cy="762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600" b="0" i="1">
                            <a:latin typeface="Cambria Math" panose="02040503050406030204" pitchFamily="18" charset="0"/>
                          </a:rPr>
                        </m:ctrlPr>
                      </m:sSubPr>
                      <m:e>
                        <m:r>
                          <a:rPr lang="es-CL" sz="1600" b="0" i="1">
                            <a:latin typeface="Cambria Math" panose="02040503050406030204" pitchFamily="18" charset="0"/>
                          </a:rPr>
                          <m:t>𝐹</m:t>
                        </m:r>
                      </m:e>
                      <m:sub>
                        <m:r>
                          <a:rPr lang="es-CL" sz="1600" b="0" i="1">
                            <a:latin typeface="Cambria Math" panose="02040503050406030204" pitchFamily="18" charset="0"/>
                          </a:rPr>
                          <m:t>𝑎𝑔𝑢𝑎</m:t>
                        </m:r>
                        <m:r>
                          <a:rPr lang="es-CL" sz="1600" b="0" i="1">
                            <a:latin typeface="Cambria Math" panose="02040503050406030204" pitchFamily="18" charset="0"/>
                          </a:rPr>
                          <m:t> </m:t>
                        </m:r>
                        <m:r>
                          <a:rPr lang="es-CL" sz="1600" b="0" i="1">
                            <a:latin typeface="Cambria Math" panose="02040503050406030204" pitchFamily="18" charset="0"/>
                          </a:rPr>
                          <m:t>𝑎𝑏𝑠</m:t>
                        </m:r>
                      </m:sub>
                    </m:sSub>
                    <m:r>
                      <a:rPr lang="es-CL" sz="1600" b="0" i="1">
                        <a:latin typeface="Cambria Math" panose="02040503050406030204" pitchFamily="18" charset="0"/>
                      </a:rPr>
                      <m:t>=</m:t>
                    </m:r>
                    <m:sSub>
                      <m:sSubPr>
                        <m:ctrlPr>
                          <a:rPr lang="es-CL" sz="1600" b="0" i="1">
                            <a:latin typeface="Cambria Math" panose="02040503050406030204" pitchFamily="18" charset="0"/>
                          </a:rPr>
                        </m:ctrlPr>
                      </m:sSubPr>
                      <m:e>
                        <m:r>
                          <a:rPr lang="es-CL" sz="1600" b="0" i="1">
                            <a:latin typeface="Cambria Math" panose="02040503050406030204" pitchFamily="18" charset="0"/>
                          </a:rPr>
                          <m:t>%</m:t>
                        </m:r>
                      </m:e>
                      <m:sub>
                        <m:r>
                          <a:rPr lang="es-CL" sz="1600" b="0" i="1">
                            <a:latin typeface="Cambria Math" panose="02040503050406030204" pitchFamily="18" charset="0"/>
                          </a:rPr>
                          <m:t>h𝑢𝑚𝑒𝑑𝑎𝑑</m:t>
                        </m:r>
                      </m:sub>
                    </m:sSub>
                    <m:r>
                      <a:rPr lang="es-CL" sz="1600" b="0" i="1">
                        <a:latin typeface="Cambria Math" panose="02040503050406030204" pitchFamily="18" charset="0"/>
                      </a:rPr>
                      <m:t>∙</m:t>
                    </m:r>
                    <m:f>
                      <m:fPr>
                        <m:ctrlPr>
                          <a:rPr lang="es-CL" sz="1600" i="1">
                            <a:solidFill>
                              <a:schemeClr val="tx1"/>
                            </a:solidFill>
                            <a:effectLst/>
                            <a:latin typeface="Cambria Math" panose="02040503050406030204" pitchFamily="18" charset="0"/>
                            <a:ea typeface="+mn-ea"/>
                            <a:cs typeface="+mn-cs"/>
                          </a:rPr>
                        </m:ctrlPr>
                      </m:fPr>
                      <m:num>
                        <m:sSub>
                          <m:sSubPr>
                            <m:ctrlPr>
                              <a:rPr lang="es-CL" sz="1600" i="1">
                                <a:solidFill>
                                  <a:schemeClr val="tx1"/>
                                </a:solidFill>
                                <a:effectLst/>
                                <a:latin typeface="Cambria Math" panose="02040503050406030204" pitchFamily="18" charset="0"/>
                                <a:ea typeface="+mn-ea"/>
                                <a:cs typeface="+mn-cs"/>
                              </a:rPr>
                            </m:ctrlPr>
                          </m:sSubPr>
                          <m:e>
                            <m:r>
                              <a:rPr lang="es-ES" sz="1600" i="1">
                                <a:solidFill>
                                  <a:schemeClr val="tx1"/>
                                </a:solidFill>
                                <a:effectLst/>
                                <a:latin typeface="Cambria Math" panose="02040503050406030204" pitchFamily="18" charset="0"/>
                                <a:ea typeface="+mn-ea"/>
                                <a:cs typeface="+mn-cs"/>
                              </a:rPr>
                              <m:t>𝐹</m:t>
                            </m:r>
                          </m:e>
                          <m:sub>
                            <m:r>
                              <a:rPr lang="es-ES" sz="1600" i="1">
                                <a:solidFill>
                                  <a:schemeClr val="tx1"/>
                                </a:solidFill>
                                <a:effectLst/>
                                <a:latin typeface="Cambria Math" panose="02040503050406030204" pitchFamily="18" charset="0"/>
                                <a:ea typeface="+mn-ea"/>
                                <a:cs typeface="+mn-cs"/>
                              </a:rPr>
                              <m:t>𝑝𝑒𝑝𝑎</m:t>
                            </m:r>
                          </m:sub>
                        </m:sSub>
                      </m:num>
                      <m:den>
                        <m:sSub>
                          <m:sSubPr>
                            <m:ctrlPr>
                              <a:rPr lang="es-CL" sz="1600" i="1">
                                <a:solidFill>
                                  <a:schemeClr val="tx1"/>
                                </a:solidFill>
                                <a:effectLst/>
                                <a:latin typeface="Cambria Math" panose="02040503050406030204" pitchFamily="18" charset="0"/>
                                <a:ea typeface="+mn-ea"/>
                                <a:cs typeface="+mn-cs"/>
                              </a:rPr>
                            </m:ctrlPr>
                          </m:sSubPr>
                          <m:e>
                            <m:r>
                              <a:rPr lang="es-ES" sz="1600" i="1">
                                <a:solidFill>
                                  <a:schemeClr val="tx1"/>
                                </a:solidFill>
                                <a:effectLst/>
                                <a:latin typeface="Cambria Math" panose="02040503050406030204" pitchFamily="18" charset="0"/>
                                <a:ea typeface="+mn-ea"/>
                                <a:cs typeface="+mn-cs"/>
                              </a:rPr>
                              <m:t>𝜌</m:t>
                            </m:r>
                          </m:e>
                          <m:sub>
                            <m:r>
                              <a:rPr lang="es-ES" sz="1600" i="1">
                                <a:solidFill>
                                  <a:schemeClr val="tx1"/>
                                </a:solidFill>
                                <a:effectLst/>
                                <a:latin typeface="Cambria Math" panose="02040503050406030204" pitchFamily="18" charset="0"/>
                                <a:ea typeface="+mn-ea"/>
                                <a:cs typeface="+mn-cs"/>
                              </a:rPr>
                              <m:t>𝑎𝑙𝑚𝑒𝑛𝑑𝑟𝑎</m:t>
                            </m:r>
                            <m:r>
                              <a:rPr lang="es-ES" sz="1600" i="1">
                                <a:solidFill>
                                  <a:schemeClr val="tx1"/>
                                </a:solidFill>
                                <a:effectLst/>
                                <a:latin typeface="Cambria Math" panose="02040503050406030204" pitchFamily="18" charset="0"/>
                                <a:ea typeface="+mn-ea"/>
                                <a:cs typeface="+mn-cs"/>
                              </a:rPr>
                              <m:t> </m:t>
                            </m:r>
                            <m:r>
                              <a:rPr lang="es-ES" sz="1600" i="1">
                                <a:solidFill>
                                  <a:schemeClr val="tx1"/>
                                </a:solidFill>
                                <a:effectLst/>
                                <a:latin typeface="Cambria Math" panose="02040503050406030204" pitchFamily="18" charset="0"/>
                                <a:ea typeface="+mn-ea"/>
                                <a:cs typeface="+mn-cs"/>
                              </a:rPr>
                              <m:t>𝑟𝑒𝑎𝑙</m:t>
                            </m:r>
                          </m:sub>
                        </m:sSub>
                      </m:den>
                    </m:f>
                    <m:r>
                      <a:rPr lang="es-ES" sz="1600" i="1">
                        <a:solidFill>
                          <a:schemeClr val="tx1"/>
                        </a:solidFill>
                        <a:effectLst/>
                        <a:latin typeface="Cambria Math" panose="02040503050406030204" pitchFamily="18" charset="0"/>
                        <a:ea typeface="+mn-ea"/>
                        <a:cs typeface="+mn-cs"/>
                      </a:rPr>
                      <m:t>∙(</m:t>
                    </m:r>
                    <m:sSub>
                      <m:sSubPr>
                        <m:ctrlPr>
                          <a:rPr lang="es-CL" sz="1600" i="1">
                            <a:solidFill>
                              <a:schemeClr val="tx1"/>
                            </a:solidFill>
                            <a:effectLst/>
                            <a:latin typeface="Cambria Math" panose="02040503050406030204" pitchFamily="18" charset="0"/>
                            <a:ea typeface="+mn-ea"/>
                            <a:cs typeface="+mn-cs"/>
                          </a:rPr>
                        </m:ctrlPr>
                      </m:sSubPr>
                      <m:e>
                        <m:r>
                          <a:rPr lang="es-ES" sz="1600" i="1">
                            <a:solidFill>
                              <a:schemeClr val="tx1"/>
                            </a:solidFill>
                            <a:effectLst/>
                            <a:latin typeface="Cambria Math" panose="02040503050406030204" pitchFamily="18" charset="0"/>
                            <a:ea typeface="+mn-ea"/>
                            <a:cs typeface="+mn-cs"/>
                          </a:rPr>
                          <m:t>𝜌</m:t>
                        </m:r>
                      </m:e>
                      <m:sub>
                        <m:r>
                          <a:rPr lang="es-ES" sz="1600" i="1">
                            <a:solidFill>
                              <a:schemeClr val="tx1"/>
                            </a:solidFill>
                            <a:effectLst/>
                            <a:latin typeface="Cambria Math" panose="02040503050406030204" pitchFamily="18" charset="0"/>
                            <a:ea typeface="+mn-ea"/>
                            <a:cs typeface="+mn-cs"/>
                          </a:rPr>
                          <m:t>𝑎𝑙𝑚𝑒𝑛𝑑𝑟𝑎</m:t>
                        </m:r>
                        <m:r>
                          <a:rPr lang="es-ES" sz="1600" i="1">
                            <a:solidFill>
                              <a:schemeClr val="tx1"/>
                            </a:solidFill>
                            <a:effectLst/>
                            <a:latin typeface="Cambria Math" panose="02040503050406030204" pitchFamily="18" charset="0"/>
                            <a:ea typeface="+mn-ea"/>
                            <a:cs typeface="+mn-cs"/>
                          </a:rPr>
                          <m:t> </m:t>
                        </m:r>
                        <m:r>
                          <a:rPr lang="es-ES" sz="1600" i="1">
                            <a:solidFill>
                              <a:schemeClr val="tx1"/>
                            </a:solidFill>
                            <a:effectLst/>
                            <a:latin typeface="Cambria Math" panose="02040503050406030204" pitchFamily="18" charset="0"/>
                            <a:ea typeface="+mn-ea"/>
                            <a:cs typeface="+mn-cs"/>
                          </a:rPr>
                          <m:t>𝑎𝑝𝑎𝑟𝑒𝑛𝑡𝑒</m:t>
                        </m:r>
                      </m:sub>
                    </m:sSub>
                    <m:r>
                      <a:rPr lang="es-ES" sz="1600" i="1">
                        <a:solidFill>
                          <a:schemeClr val="tx1"/>
                        </a:solidFill>
                        <a:effectLst/>
                        <a:latin typeface="Cambria Math" panose="02040503050406030204" pitchFamily="18" charset="0"/>
                        <a:ea typeface="+mn-ea"/>
                        <a:cs typeface="+mn-cs"/>
                      </a:rPr>
                      <m:t>−</m:t>
                    </m:r>
                    <m:sSub>
                      <m:sSubPr>
                        <m:ctrlPr>
                          <a:rPr lang="es-CL" sz="1600" i="1">
                            <a:solidFill>
                              <a:schemeClr val="tx1"/>
                            </a:solidFill>
                            <a:effectLst/>
                            <a:latin typeface="Cambria Math" panose="02040503050406030204" pitchFamily="18" charset="0"/>
                            <a:ea typeface="+mn-ea"/>
                            <a:cs typeface="+mn-cs"/>
                          </a:rPr>
                        </m:ctrlPr>
                      </m:sSubPr>
                      <m:e>
                        <m:r>
                          <a:rPr lang="es-ES" sz="1600" i="1">
                            <a:solidFill>
                              <a:schemeClr val="tx1"/>
                            </a:solidFill>
                            <a:effectLst/>
                            <a:latin typeface="Cambria Math" panose="02040503050406030204" pitchFamily="18" charset="0"/>
                            <a:ea typeface="+mn-ea"/>
                            <a:cs typeface="+mn-cs"/>
                          </a:rPr>
                          <m:t>𝜌</m:t>
                        </m:r>
                      </m:e>
                      <m:sub>
                        <m:r>
                          <a:rPr lang="es-ES" sz="1600" i="1">
                            <a:solidFill>
                              <a:schemeClr val="tx1"/>
                            </a:solidFill>
                            <a:effectLst/>
                            <a:latin typeface="Cambria Math" panose="02040503050406030204" pitchFamily="18" charset="0"/>
                            <a:ea typeface="+mn-ea"/>
                            <a:cs typeface="+mn-cs"/>
                          </a:rPr>
                          <m:t>𝑎𝑙𝑚𝑒𝑛𝑑𝑟𝑎</m:t>
                        </m:r>
                        <m:r>
                          <a:rPr lang="es-ES" sz="1600" i="1">
                            <a:solidFill>
                              <a:schemeClr val="tx1"/>
                            </a:solidFill>
                            <a:effectLst/>
                            <a:latin typeface="Cambria Math" panose="02040503050406030204" pitchFamily="18" charset="0"/>
                            <a:ea typeface="+mn-ea"/>
                            <a:cs typeface="+mn-cs"/>
                          </a:rPr>
                          <m:t> </m:t>
                        </m:r>
                        <m:r>
                          <a:rPr lang="es-ES" sz="1600" i="1">
                            <a:solidFill>
                              <a:schemeClr val="tx1"/>
                            </a:solidFill>
                            <a:effectLst/>
                            <a:latin typeface="Cambria Math" panose="02040503050406030204" pitchFamily="18" charset="0"/>
                            <a:ea typeface="+mn-ea"/>
                            <a:cs typeface="+mn-cs"/>
                          </a:rPr>
                          <m:t>𝑟𝑒𝑎𝑙</m:t>
                        </m:r>
                      </m:sub>
                    </m:sSub>
                    <m:r>
                      <a:rPr lang="es-ES" sz="1600" i="1">
                        <a:solidFill>
                          <a:schemeClr val="tx1"/>
                        </a:solidFill>
                        <a:effectLst/>
                        <a:latin typeface="Cambria Math" panose="02040503050406030204" pitchFamily="18" charset="0"/>
                        <a:ea typeface="+mn-ea"/>
                        <a:cs typeface="+mn-cs"/>
                      </a:rPr>
                      <m:t>)</m:t>
                    </m:r>
                  </m:oMath>
                </m:oMathPara>
              </a14:m>
              <a:endParaRPr lang="es-CL" sz="1600" b="0"/>
            </a:p>
            <a:p>
              <a:endParaRPr lang="es-CL" sz="1600"/>
            </a:p>
          </xdr:txBody>
        </xdr:sp>
      </mc:Choice>
      <mc:Fallback xmlns="">
        <xdr:sp macro="" textlink="">
          <xdr:nvSpPr>
            <xdr:cNvPr id="11" name="CuadroTexto 10">
              <a:extLst>
                <a:ext uri="{FF2B5EF4-FFF2-40B4-BE49-F238E27FC236}">
                  <a16:creationId xmlns:a16="http://schemas.microsoft.com/office/drawing/2014/main" id="{C052DFDD-3760-4BCF-BD76-486F50B8FBDE}"/>
                </a:ext>
              </a:extLst>
            </xdr:cNvPr>
            <xdr:cNvSpPr txBox="1"/>
          </xdr:nvSpPr>
          <xdr:spPr>
            <a:xfrm>
              <a:off x="5752312" y="14480976"/>
              <a:ext cx="6540892" cy="762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L" sz="1600" b="0" i="0">
                  <a:latin typeface="Cambria Math" panose="02040503050406030204" pitchFamily="18" charset="0"/>
                </a:rPr>
                <a:t>𝐹_(𝑎𝑔𝑢𝑎 𝑎𝑏𝑠)=%_ℎ𝑢𝑚𝑒𝑑𝑎𝑑∙</a:t>
              </a:r>
              <a:r>
                <a:rPr lang="es-ES" sz="1600" i="0">
                  <a:solidFill>
                    <a:schemeClr val="tx1"/>
                  </a:solidFill>
                  <a:effectLst/>
                  <a:latin typeface="+mn-lt"/>
                  <a:ea typeface="+mn-ea"/>
                  <a:cs typeface="+mn-cs"/>
                </a:rPr>
                <a:t>𝐹</a:t>
              </a:r>
              <a:r>
                <a:rPr lang="es-CL" sz="1600" i="0">
                  <a:solidFill>
                    <a:schemeClr val="tx1"/>
                  </a:solidFill>
                  <a:effectLst/>
                  <a:latin typeface="+mn-lt"/>
                  <a:ea typeface="+mn-ea"/>
                  <a:cs typeface="+mn-cs"/>
                </a:rPr>
                <a:t>_</a:t>
              </a:r>
              <a:r>
                <a:rPr lang="es-ES" sz="1600" i="0">
                  <a:solidFill>
                    <a:schemeClr val="tx1"/>
                  </a:solidFill>
                  <a:effectLst/>
                  <a:latin typeface="+mn-lt"/>
                  <a:ea typeface="+mn-ea"/>
                  <a:cs typeface="+mn-cs"/>
                </a:rPr>
                <a:t>𝑝𝑒𝑝𝑎</a:t>
              </a:r>
              <a:r>
                <a:rPr lang="es-CL" sz="1600" i="0">
                  <a:solidFill>
                    <a:schemeClr val="tx1"/>
                  </a:solidFill>
                  <a:effectLst/>
                  <a:latin typeface="+mn-lt"/>
                  <a:ea typeface="+mn-ea"/>
                  <a:cs typeface="+mn-cs"/>
                </a:rPr>
                <a:t>/</a:t>
              </a:r>
              <a:r>
                <a:rPr lang="es-ES" sz="1600" i="0">
                  <a:solidFill>
                    <a:schemeClr val="tx1"/>
                  </a:solidFill>
                  <a:effectLst/>
                  <a:latin typeface="+mn-lt"/>
                  <a:ea typeface="+mn-ea"/>
                  <a:cs typeface="+mn-cs"/>
                </a:rPr>
                <a:t>𝜌</a:t>
              </a:r>
              <a:r>
                <a:rPr lang="es-CL" sz="1600" i="0">
                  <a:solidFill>
                    <a:schemeClr val="tx1"/>
                  </a:solidFill>
                  <a:effectLst/>
                  <a:latin typeface="+mn-lt"/>
                  <a:ea typeface="+mn-ea"/>
                  <a:cs typeface="+mn-cs"/>
                </a:rPr>
                <a:t>_(</a:t>
              </a:r>
              <a:r>
                <a:rPr lang="es-ES" sz="1600" i="0">
                  <a:solidFill>
                    <a:schemeClr val="tx1"/>
                  </a:solidFill>
                  <a:effectLst/>
                  <a:latin typeface="+mn-lt"/>
                  <a:ea typeface="+mn-ea"/>
                  <a:cs typeface="+mn-cs"/>
                </a:rPr>
                <a:t>𝑎𝑙𝑚𝑒𝑛𝑑𝑟𝑎 𝑟𝑒𝑎𝑙</a:t>
              </a:r>
              <a:r>
                <a:rPr lang="es-CL" sz="1600" i="0">
                  <a:solidFill>
                    <a:schemeClr val="tx1"/>
                  </a:solidFill>
                  <a:effectLst/>
                  <a:latin typeface="+mn-lt"/>
                  <a:ea typeface="+mn-ea"/>
                  <a:cs typeface="+mn-cs"/>
                </a:rPr>
                <a:t>)</a:t>
              </a:r>
              <a:r>
                <a:rPr lang="es-ES" sz="1600" i="0">
                  <a:solidFill>
                    <a:schemeClr val="tx1"/>
                  </a:solidFill>
                  <a:effectLst/>
                  <a:latin typeface="+mn-lt"/>
                  <a:ea typeface="+mn-ea"/>
                  <a:cs typeface="+mn-cs"/>
                </a:rPr>
                <a:t> ∙(𝜌</a:t>
              </a:r>
              <a:r>
                <a:rPr lang="es-CL" sz="1600" i="0">
                  <a:solidFill>
                    <a:schemeClr val="tx1"/>
                  </a:solidFill>
                  <a:effectLst/>
                  <a:latin typeface="+mn-lt"/>
                  <a:ea typeface="+mn-ea"/>
                  <a:cs typeface="+mn-cs"/>
                </a:rPr>
                <a:t>_(</a:t>
              </a:r>
              <a:r>
                <a:rPr lang="es-ES" sz="1600" i="0">
                  <a:solidFill>
                    <a:schemeClr val="tx1"/>
                  </a:solidFill>
                  <a:effectLst/>
                  <a:latin typeface="+mn-lt"/>
                  <a:ea typeface="+mn-ea"/>
                  <a:cs typeface="+mn-cs"/>
                </a:rPr>
                <a:t>𝑎𝑙𝑚𝑒𝑛𝑑𝑟𝑎 𝑎𝑝𝑎𝑟𝑒𝑛𝑡𝑒</a:t>
              </a:r>
              <a:r>
                <a:rPr lang="es-CL" sz="1600" i="0">
                  <a:solidFill>
                    <a:schemeClr val="tx1"/>
                  </a:solidFill>
                  <a:effectLst/>
                  <a:latin typeface="+mn-lt"/>
                  <a:ea typeface="+mn-ea"/>
                  <a:cs typeface="+mn-cs"/>
                </a:rPr>
                <a:t>)</a:t>
              </a:r>
              <a:r>
                <a:rPr lang="es-ES" sz="1600" i="0">
                  <a:solidFill>
                    <a:schemeClr val="tx1"/>
                  </a:solidFill>
                  <a:effectLst/>
                  <a:latin typeface="+mn-lt"/>
                  <a:ea typeface="+mn-ea"/>
                  <a:cs typeface="+mn-cs"/>
                </a:rPr>
                <a:t>−𝜌</a:t>
              </a:r>
              <a:r>
                <a:rPr lang="es-CL" sz="1600" i="0">
                  <a:solidFill>
                    <a:schemeClr val="tx1"/>
                  </a:solidFill>
                  <a:effectLst/>
                  <a:latin typeface="+mn-lt"/>
                  <a:ea typeface="+mn-ea"/>
                  <a:cs typeface="+mn-cs"/>
                </a:rPr>
                <a:t>_(</a:t>
              </a:r>
              <a:r>
                <a:rPr lang="es-ES" sz="1600" i="0">
                  <a:solidFill>
                    <a:schemeClr val="tx1"/>
                  </a:solidFill>
                  <a:effectLst/>
                  <a:latin typeface="+mn-lt"/>
                  <a:ea typeface="+mn-ea"/>
                  <a:cs typeface="+mn-cs"/>
                </a:rPr>
                <a:t>𝑎𝑙𝑚𝑒𝑛𝑑𝑟𝑎 𝑟𝑒𝑎𝑙</a:t>
              </a:r>
              <a:r>
                <a:rPr lang="es-CL" sz="1600" i="0">
                  <a:solidFill>
                    <a:schemeClr val="tx1"/>
                  </a:solidFill>
                  <a:effectLst/>
                  <a:latin typeface="+mn-lt"/>
                  <a:ea typeface="+mn-ea"/>
                  <a:cs typeface="+mn-cs"/>
                </a:rPr>
                <a:t>)</a:t>
              </a:r>
              <a:r>
                <a:rPr lang="es-ES" sz="1600" i="0">
                  <a:solidFill>
                    <a:schemeClr val="tx1"/>
                  </a:solidFill>
                  <a:effectLst/>
                  <a:latin typeface="+mn-lt"/>
                  <a:ea typeface="+mn-ea"/>
                  <a:cs typeface="+mn-cs"/>
                </a:rPr>
                <a:t>)</a:t>
              </a:r>
              <a:endParaRPr lang="es-CL" sz="1600" b="0"/>
            </a:p>
            <a:p>
              <a:endParaRPr lang="es-CL" sz="1600"/>
            </a:p>
          </xdr:txBody>
        </xdr:sp>
      </mc:Fallback>
    </mc:AlternateContent>
    <xdr:clientData/>
  </xdr:oneCellAnchor>
  <xdr:oneCellAnchor>
    <xdr:from>
      <xdr:col>4</xdr:col>
      <xdr:colOff>1023742</xdr:colOff>
      <xdr:row>48</xdr:row>
      <xdr:rowOff>51669</xdr:rowOff>
    </xdr:from>
    <xdr:ext cx="2074222" cy="57246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E40DD983-F35E-4844-B486-CF7AF2D932B9}"/>
                </a:ext>
              </a:extLst>
            </xdr:cNvPr>
            <xdr:cNvSpPr txBox="1"/>
          </xdr:nvSpPr>
          <xdr:spPr>
            <a:xfrm>
              <a:off x="6060249" y="10672696"/>
              <a:ext cx="2074222" cy="572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800" b="0" i="1">
                            <a:latin typeface="Cambria Math" panose="02040503050406030204" pitchFamily="18" charset="0"/>
                          </a:rPr>
                        </m:ctrlPr>
                      </m:sSubPr>
                      <m:e>
                        <m:r>
                          <a:rPr lang="es-CL" sz="1800" b="0" i="1">
                            <a:latin typeface="Cambria Math" panose="02040503050406030204" pitchFamily="18" charset="0"/>
                          </a:rPr>
                          <m:t>𝑉</m:t>
                        </m:r>
                      </m:e>
                      <m:sub>
                        <m:r>
                          <a:rPr lang="es-CL" sz="1800" b="0" i="1">
                            <a:latin typeface="Cambria Math" panose="02040503050406030204" pitchFamily="18" charset="0"/>
                          </a:rPr>
                          <m:t>𝑝𝑒𝑝𝑎</m:t>
                        </m:r>
                      </m:sub>
                    </m:sSub>
                    <m:r>
                      <a:rPr lang="es-CL" sz="1800" b="0" i="1">
                        <a:latin typeface="Cambria Math" panose="02040503050406030204" pitchFamily="18" charset="0"/>
                      </a:rPr>
                      <m:t>=</m:t>
                    </m:r>
                    <m:f>
                      <m:fPr>
                        <m:ctrlPr>
                          <a:rPr lang="es-CL" sz="1800" b="0" i="1">
                            <a:latin typeface="Cambria Math" panose="02040503050406030204" pitchFamily="18" charset="0"/>
                          </a:rPr>
                        </m:ctrlPr>
                      </m:fPr>
                      <m:num>
                        <m:sSub>
                          <m:sSubPr>
                            <m:ctrlPr>
                              <a:rPr lang="es-CL" sz="1800" b="0" i="1">
                                <a:latin typeface="Cambria Math" panose="02040503050406030204" pitchFamily="18" charset="0"/>
                              </a:rPr>
                            </m:ctrlPr>
                          </m:sSubPr>
                          <m:e>
                            <m:r>
                              <a:rPr lang="es-CL" sz="1800" b="0" i="1">
                                <a:latin typeface="Cambria Math" panose="02040503050406030204" pitchFamily="18" charset="0"/>
                              </a:rPr>
                              <m:t>𝐹</m:t>
                            </m:r>
                          </m:e>
                          <m:sub>
                            <m:r>
                              <a:rPr lang="es-CL" sz="1800" b="0" i="1">
                                <a:latin typeface="Cambria Math" panose="02040503050406030204" pitchFamily="18" charset="0"/>
                              </a:rPr>
                              <m:t>𝑝𝑒𝑝𝑎</m:t>
                            </m:r>
                          </m:sub>
                        </m:sSub>
                      </m:num>
                      <m:den>
                        <m:r>
                          <a:rPr lang="es-CL" sz="1800" b="0" i="1">
                            <a:latin typeface="Cambria Math" panose="02040503050406030204" pitchFamily="18" charset="0"/>
                            <a:ea typeface="Cambria Math" panose="02040503050406030204" pitchFamily="18" charset="0"/>
                          </a:rPr>
                          <m:t>𝜌</m:t>
                        </m:r>
                        <m:r>
                          <a:rPr lang="es-CL" sz="1800" b="0" i="1">
                            <a:latin typeface="Cambria Math" panose="02040503050406030204" pitchFamily="18" charset="0"/>
                            <a:ea typeface="Cambria Math" panose="02040503050406030204" pitchFamily="18" charset="0"/>
                          </a:rPr>
                          <m:t>_</m:t>
                        </m:r>
                        <m:r>
                          <a:rPr lang="es-CL" sz="1800" b="0" i="1">
                            <a:latin typeface="Cambria Math" panose="02040503050406030204" pitchFamily="18" charset="0"/>
                            <a:ea typeface="Cambria Math" panose="02040503050406030204" pitchFamily="18" charset="0"/>
                          </a:rPr>
                          <m:t>𝑝𝑒𝑝𝑎𝑝𝑜𝑟𝑜</m:t>
                        </m:r>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E40DD983-F35E-4844-B486-CF7AF2D932B9}"/>
                </a:ext>
              </a:extLst>
            </xdr:cNvPr>
            <xdr:cNvSpPr txBox="1"/>
          </xdr:nvSpPr>
          <xdr:spPr>
            <a:xfrm>
              <a:off x="6060249" y="10672696"/>
              <a:ext cx="2074222" cy="572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s-CL" sz="1800" b="0" i="0">
                  <a:latin typeface="Cambria Math" panose="02040503050406030204" pitchFamily="18" charset="0"/>
                </a:rPr>
                <a:t>𝑉_𝑝𝑒𝑝𝑎=𝐹_𝑝𝑒𝑝𝑎/(</a:t>
              </a:r>
              <a:r>
                <a:rPr lang="es-CL" sz="1800" b="0" i="0">
                  <a:latin typeface="Cambria Math" panose="02040503050406030204" pitchFamily="18" charset="0"/>
                  <a:ea typeface="Cambria Math" panose="02040503050406030204" pitchFamily="18" charset="0"/>
                </a:rPr>
                <a:t>𝜌_𝑝𝑒𝑝𝑎𝑝𝑜𝑟𝑜)</a:t>
              </a:r>
              <a:endParaRPr lang="es-CL" sz="1100"/>
            </a:p>
          </xdr:txBody>
        </xdr:sp>
      </mc:Fallback>
    </mc:AlternateContent>
    <xdr:clientData/>
  </xdr:oneCellAnchor>
  <xdr:twoCellAnchor editAs="oneCell">
    <xdr:from>
      <xdr:col>0</xdr:col>
      <xdr:colOff>653143</xdr:colOff>
      <xdr:row>1</xdr:row>
      <xdr:rowOff>0</xdr:rowOff>
    </xdr:from>
    <xdr:to>
      <xdr:col>2</xdr:col>
      <xdr:colOff>651205</xdr:colOff>
      <xdr:row>12</xdr:row>
      <xdr:rowOff>177800</xdr:rowOff>
    </xdr:to>
    <xdr:pic>
      <xdr:nvPicPr>
        <xdr:cNvPr id="3" name="Imagen 2">
          <a:extLst>
            <a:ext uri="{FF2B5EF4-FFF2-40B4-BE49-F238E27FC236}">
              <a16:creationId xmlns:a16="http://schemas.microsoft.com/office/drawing/2014/main" id="{70ECE4DE-B058-4042-A5BB-CD9B96D0DAE6}"/>
            </a:ext>
          </a:extLst>
        </xdr:cNvPr>
        <xdr:cNvPicPr>
          <a:picLocks noChangeAspect="1"/>
        </xdr:cNvPicPr>
      </xdr:nvPicPr>
      <xdr:blipFill>
        <a:blip xmlns:r="http://schemas.openxmlformats.org/officeDocument/2006/relationships" r:embed="rId1"/>
        <a:stretch>
          <a:fillRect/>
        </a:stretch>
      </xdr:blipFill>
      <xdr:spPr>
        <a:xfrm>
          <a:off x="653143" y="177800"/>
          <a:ext cx="3465162" cy="23622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952500</xdr:colOff>
      <xdr:row>0</xdr:row>
      <xdr:rowOff>133350</xdr:rowOff>
    </xdr:from>
    <xdr:to>
      <xdr:col>4</xdr:col>
      <xdr:colOff>2438400</xdr:colOff>
      <xdr:row>4</xdr:row>
      <xdr:rowOff>116205</xdr:rowOff>
    </xdr:to>
    <xdr:pic>
      <xdr:nvPicPr>
        <xdr:cNvPr id="7" name="Imagen 6">
          <a:extLst>
            <a:ext uri="{FF2B5EF4-FFF2-40B4-BE49-F238E27FC236}">
              <a16:creationId xmlns:a16="http://schemas.microsoft.com/office/drawing/2014/main" id="{5A20F4DA-AA5F-4CDE-B558-C2E6DAF38D1C}"/>
            </a:ext>
            <a:ext uri="{147F2762-F138-4A5C-976F-8EAC2B608ADB}">
              <a16:predDERef xmlns:a16="http://schemas.microsoft.com/office/drawing/2014/main" pred="{6665F23E-583A-8543-8C12-16DFAA8643C8}"/>
            </a:ext>
          </a:extLst>
        </xdr:cNvPr>
        <xdr:cNvPicPr>
          <a:picLocks noChangeAspect="1"/>
        </xdr:cNvPicPr>
      </xdr:nvPicPr>
      <xdr:blipFill>
        <a:blip xmlns:r="http://schemas.openxmlformats.org/officeDocument/2006/relationships" r:embed="rId1"/>
        <a:stretch>
          <a:fillRect/>
        </a:stretch>
      </xdr:blipFill>
      <xdr:spPr>
        <a:xfrm>
          <a:off x="6048375" y="133350"/>
          <a:ext cx="1485900" cy="714375"/>
        </a:xfrm>
        <a:prstGeom prst="rect">
          <a:avLst/>
        </a:prstGeom>
      </xdr:spPr>
    </xdr:pic>
    <xdr:clientData/>
  </xdr:twoCellAnchor>
  <xdr:twoCellAnchor editAs="oneCell">
    <xdr:from>
      <xdr:col>0</xdr:col>
      <xdr:colOff>1239610</xdr:colOff>
      <xdr:row>0</xdr:row>
      <xdr:rowOff>2504</xdr:rowOff>
    </xdr:from>
    <xdr:to>
      <xdr:col>1</xdr:col>
      <xdr:colOff>804182</xdr:colOff>
      <xdr:row>11</xdr:row>
      <xdr:rowOff>66358</xdr:rowOff>
    </xdr:to>
    <xdr:pic>
      <xdr:nvPicPr>
        <xdr:cNvPr id="3" name="Imagen 2">
          <a:extLst>
            <a:ext uri="{FF2B5EF4-FFF2-40B4-BE49-F238E27FC236}">
              <a16:creationId xmlns:a16="http://schemas.microsoft.com/office/drawing/2014/main" id="{FBD7DC23-C37B-4801-9E5F-29518663465B}"/>
            </a:ext>
            <a:ext uri="{147F2762-F138-4A5C-976F-8EAC2B608ADB}">
              <a16:predDERef xmlns:a16="http://schemas.microsoft.com/office/drawing/2014/main" pred="{5A20F4DA-AA5F-4CDE-B558-C2E6DAF38D1C}"/>
            </a:ext>
          </a:extLst>
        </xdr:cNvPr>
        <xdr:cNvPicPr>
          <a:picLocks noChangeAspect="1"/>
        </xdr:cNvPicPr>
      </xdr:nvPicPr>
      <xdr:blipFill>
        <a:blip xmlns:r="http://schemas.openxmlformats.org/officeDocument/2006/relationships" r:embed="rId2"/>
        <a:stretch>
          <a:fillRect/>
        </a:stretch>
      </xdr:blipFill>
      <xdr:spPr>
        <a:xfrm>
          <a:off x="1239610" y="2504"/>
          <a:ext cx="2212522" cy="216887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4</xdr:col>
      <xdr:colOff>2086459</xdr:colOff>
      <xdr:row>1</xdr:row>
      <xdr:rowOff>140239</xdr:rowOff>
    </xdr:from>
    <xdr:ext cx="2984500" cy="514821"/>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B05DEEDB-C4E6-9540-B2B1-27F5A2301058}"/>
                </a:ext>
              </a:extLst>
            </xdr:cNvPr>
            <xdr:cNvSpPr txBox="1"/>
          </xdr:nvSpPr>
          <xdr:spPr>
            <a:xfrm>
              <a:off x="8866967" y="333968"/>
              <a:ext cx="2984500" cy="5148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s-ES" sz="1600" b="0" i="1">
                        <a:latin typeface="Cambria Math" panose="02040503050406030204" pitchFamily="18" charset="0"/>
                      </a:rPr>
                      <m:t>𝑡</m:t>
                    </m:r>
                    <m:r>
                      <a:rPr lang="es-ES" sz="1600" b="0" i="1">
                        <a:latin typeface="Cambria Math" panose="02040503050406030204" pitchFamily="18" charset="0"/>
                      </a:rPr>
                      <m:t>=</m:t>
                    </m:r>
                    <m:f>
                      <m:fPr>
                        <m:ctrlPr>
                          <a:rPr lang="es-ES" sz="1600" b="0" i="1">
                            <a:latin typeface="Cambria Math" panose="02040503050406030204" pitchFamily="18" charset="0"/>
                          </a:rPr>
                        </m:ctrlPr>
                      </m:fPr>
                      <m:num>
                        <m:r>
                          <a:rPr lang="es-ES" sz="1600" b="0" i="1">
                            <a:latin typeface="Cambria Math" panose="02040503050406030204" pitchFamily="18" charset="0"/>
                            <a:ea typeface="Cambria Math" panose="02040503050406030204" pitchFamily="18" charset="0"/>
                          </a:rPr>
                          <m:t>𝜇</m:t>
                        </m:r>
                        <m:r>
                          <a:rPr lang="es-ES" sz="1600" b="0" i="1">
                            <a:latin typeface="Cambria Math" panose="02040503050406030204" pitchFamily="18" charset="0"/>
                            <a:ea typeface="Cambria Math" panose="02040503050406030204" pitchFamily="18" charset="0"/>
                          </a:rPr>
                          <m:t>·</m:t>
                        </m:r>
                        <m:r>
                          <a:rPr lang="es-ES" sz="1600" b="0" i="1">
                            <a:latin typeface="Cambria Math" panose="02040503050406030204" pitchFamily="18" charset="0"/>
                            <a:ea typeface="Cambria Math" panose="02040503050406030204" pitchFamily="18" charset="0"/>
                          </a:rPr>
                          <m:t>𝛼</m:t>
                        </m:r>
                        <m:r>
                          <a:rPr lang="es-ES" sz="1600" b="0" i="1">
                            <a:latin typeface="Cambria Math" panose="02040503050406030204" pitchFamily="18" charset="0"/>
                            <a:ea typeface="Cambria Math" panose="02040503050406030204" pitchFamily="18" charset="0"/>
                          </a:rPr>
                          <m:t>·</m:t>
                        </m:r>
                        <m:r>
                          <a:rPr lang="es-ES" sz="1600" b="0" i="1">
                            <a:latin typeface="Cambria Math" panose="02040503050406030204" pitchFamily="18" charset="0"/>
                            <a:ea typeface="Cambria Math" panose="02040503050406030204" pitchFamily="18" charset="0"/>
                          </a:rPr>
                          <m:t>𝐶</m:t>
                        </m:r>
                      </m:num>
                      <m:den>
                        <m:r>
                          <a:rPr lang="es-ES" sz="1600" b="0" i="1">
                            <a:latin typeface="Cambria Math" panose="02040503050406030204" pitchFamily="18" charset="0"/>
                          </a:rPr>
                          <m:t>2·</m:t>
                        </m:r>
                        <m:r>
                          <a:rPr lang="es-ES" sz="1600" b="0" i="1">
                            <a:latin typeface="Cambria Math" panose="02040503050406030204" pitchFamily="18" charset="0"/>
                            <a:ea typeface="Cambria Math" panose="02040503050406030204" pitchFamily="18" charset="0"/>
                          </a:rPr>
                          <m:t>∆</m:t>
                        </m:r>
                        <m:r>
                          <a:rPr lang="es-ES" sz="1600" b="0" i="1">
                            <a:latin typeface="Cambria Math" panose="02040503050406030204" pitchFamily="18" charset="0"/>
                          </a:rPr>
                          <m:t>𝑃</m:t>
                        </m:r>
                      </m:den>
                    </m:f>
                    <m:sSup>
                      <m:sSupPr>
                        <m:ctrlPr>
                          <a:rPr lang="es-ES" sz="1600" b="0" i="1">
                            <a:latin typeface="Cambria Math" panose="02040503050406030204" pitchFamily="18" charset="0"/>
                          </a:rPr>
                        </m:ctrlPr>
                      </m:sSupPr>
                      <m:e>
                        <m:d>
                          <m:dPr>
                            <m:ctrlPr>
                              <a:rPr lang="es-ES" sz="1600" b="0" i="1">
                                <a:latin typeface="Cambria Math" panose="02040503050406030204" pitchFamily="18" charset="0"/>
                              </a:rPr>
                            </m:ctrlPr>
                          </m:dPr>
                          <m:e>
                            <m:f>
                              <m:fPr>
                                <m:ctrlPr>
                                  <a:rPr lang="es-ES" sz="1600" b="0" i="1">
                                    <a:latin typeface="Cambria Math" panose="02040503050406030204" pitchFamily="18" charset="0"/>
                                  </a:rPr>
                                </m:ctrlPr>
                              </m:fPr>
                              <m:num>
                                <m:r>
                                  <a:rPr lang="es-ES" sz="1600" b="0" i="1">
                                    <a:latin typeface="Cambria Math" panose="02040503050406030204" pitchFamily="18" charset="0"/>
                                  </a:rPr>
                                  <m:t>𝑉</m:t>
                                </m:r>
                              </m:num>
                              <m:den>
                                <m:r>
                                  <a:rPr lang="es-ES" sz="1600" b="0" i="1">
                                    <a:latin typeface="Cambria Math" panose="02040503050406030204" pitchFamily="18" charset="0"/>
                                  </a:rPr>
                                  <m:t>𝐴</m:t>
                                </m:r>
                              </m:den>
                            </m:f>
                          </m:e>
                        </m:d>
                      </m:e>
                      <m:sup>
                        <m:r>
                          <a:rPr lang="es-ES" sz="1600" b="0" i="1">
                            <a:latin typeface="Cambria Math" panose="02040503050406030204" pitchFamily="18" charset="0"/>
                          </a:rPr>
                          <m:t>2</m:t>
                        </m:r>
                      </m:sup>
                    </m:sSup>
                    <m:r>
                      <a:rPr lang="es-ES" sz="1600" b="0" i="1">
                        <a:latin typeface="Cambria Math" panose="02040503050406030204" pitchFamily="18" charset="0"/>
                      </a:rPr>
                      <m:t>+ </m:t>
                    </m:r>
                    <m:f>
                      <m:fPr>
                        <m:ctrlPr>
                          <a:rPr lang="es-ES" sz="1600" b="0" i="1">
                            <a:latin typeface="Cambria Math" panose="02040503050406030204" pitchFamily="18" charset="0"/>
                          </a:rPr>
                        </m:ctrlPr>
                      </m:fPr>
                      <m:num>
                        <m:r>
                          <a:rPr lang="es-ES" sz="1600" b="0" i="1">
                            <a:latin typeface="Cambria Math" panose="02040503050406030204" pitchFamily="18" charset="0"/>
                            <a:ea typeface="Cambria Math" panose="02040503050406030204" pitchFamily="18" charset="0"/>
                          </a:rPr>
                          <m:t>𝜇</m:t>
                        </m:r>
                        <m:r>
                          <a:rPr lang="es-ES" sz="1600" b="0" i="1">
                            <a:latin typeface="Cambria Math" panose="02040503050406030204" pitchFamily="18" charset="0"/>
                            <a:ea typeface="Cambria Math" panose="02040503050406030204" pitchFamily="18" charset="0"/>
                          </a:rPr>
                          <m:t>·</m:t>
                        </m:r>
                        <m:sSub>
                          <m:sSubPr>
                            <m:ctrlPr>
                              <a:rPr lang="es-ES" sz="1600" b="0" i="1">
                                <a:latin typeface="Cambria Math" panose="02040503050406030204" pitchFamily="18" charset="0"/>
                                <a:ea typeface="Cambria Math" panose="02040503050406030204" pitchFamily="18" charset="0"/>
                              </a:rPr>
                            </m:ctrlPr>
                          </m:sSubPr>
                          <m:e>
                            <m:r>
                              <a:rPr lang="es-ES" sz="1600" b="0" i="1">
                                <a:latin typeface="Cambria Math" panose="02040503050406030204" pitchFamily="18" charset="0"/>
                                <a:ea typeface="Cambria Math" panose="02040503050406030204" pitchFamily="18" charset="0"/>
                              </a:rPr>
                              <m:t>𝑅</m:t>
                            </m:r>
                          </m:e>
                          <m:sub>
                            <m:r>
                              <a:rPr lang="es-ES" sz="1600" b="0" i="1">
                                <a:latin typeface="Cambria Math" panose="02040503050406030204" pitchFamily="18" charset="0"/>
                                <a:ea typeface="Cambria Math" panose="02040503050406030204" pitchFamily="18" charset="0"/>
                              </a:rPr>
                              <m:t>𝑀</m:t>
                            </m:r>
                          </m:sub>
                        </m:sSub>
                      </m:num>
                      <m:den>
                        <m:r>
                          <a:rPr lang="es-ES" sz="1600" b="0" i="1">
                            <a:latin typeface="Cambria Math" panose="02040503050406030204" pitchFamily="18" charset="0"/>
                            <a:ea typeface="Cambria Math" panose="02040503050406030204" pitchFamily="18" charset="0"/>
                          </a:rPr>
                          <m:t>∆</m:t>
                        </m:r>
                        <m:r>
                          <a:rPr lang="es-ES" sz="1600" b="0" i="1">
                            <a:latin typeface="Cambria Math" panose="02040503050406030204" pitchFamily="18" charset="0"/>
                            <a:ea typeface="Cambria Math" panose="02040503050406030204" pitchFamily="18" charset="0"/>
                          </a:rPr>
                          <m:t>𝑃</m:t>
                        </m:r>
                      </m:den>
                    </m:f>
                    <m:d>
                      <m:dPr>
                        <m:ctrlPr>
                          <a:rPr lang="es-ES" sz="1600" b="0" i="1">
                            <a:latin typeface="Cambria Math" panose="02040503050406030204" pitchFamily="18" charset="0"/>
                          </a:rPr>
                        </m:ctrlPr>
                      </m:dPr>
                      <m:e>
                        <m:f>
                          <m:fPr>
                            <m:ctrlPr>
                              <a:rPr lang="es-ES" sz="1600" b="0" i="1">
                                <a:latin typeface="Cambria Math" panose="02040503050406030204" pitchFamily="18" charset="0"/>
                              </a:rPr>
                            </m:ctrlPr>
                          </m:fPr>
                          <m:num>
                            <m:r>
                              <a:rPr lang="es-ES" sz="1600" b="0" i="1">
                                <a:latin typeface="Cambria Math" panose="02040503050406030204" pitchFamily="18" charset="0"/>
                              </a:rPr>
                              <m:t>𝑉</m:t>
                            </m:r>
                          </m:num>
                          <m:den>
                            <m:r>
                              <a:rPr lang="es-ES" sz="1600" b="0" i="1">
                                <a:latin typeface="Cambria Math" panose="02040503050406030204" pitchFamily="18" charset="0"/>
                              </a:rPr>
                              <m:t>𝐴</m:t>
                            </m:r>
                          </m:den>
                        </m:f>
                      </m:e>
                    </m:d>
                  </m:oMath>
                </m:oMathPara>
              </a14:m>
              <a:endParaRPr lang="es-ES_tradnl" sz="1600"/>
            </a:p>
          </xdr:txBody>
        </xdr:sp>
      </mc:Choice>
      <mc:Fallback xmlns="">
        <xdr:sp macro="" textlink="">
          <xdr:nvSpPr>
            <xdr:cNvPr id="3" name="CuadroTexto 2">
              <a:extLst>
                <a:ext uri="{FF2B5EF4-FFF2-40B4-BE49-F238E27FC236}">
                  <a16:creationId xmlns:a16="http://schemas.microsoft.com/office/drawing/2014/main" id="{B05DEEDB-C4E6-9540-B2B1-27F5A2301058}"/>
                </a:ext>
              </a:extLst>
            </xdr:cNvPr>
            <xdr:cNvSpPr txBox="1"/>
          </xdr:nvSpPr>
          <xdr:spPr>
            <a:xfrm>
              <a:off x="8866967" y="333968"/>
              <a:ext cx="2984500" cy="5148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ES" sz="1600" b="0" i="0">
                  <a:latin typeface="Cambria Math" panose="02040503050406030204" pitchFamily="18" charset="0"/>
                </a:rPr>
                <a:t>𝑡=(</a:t>
              </a:r>
              <a:r>
                <a:rPr lang="es-ES" sz="1600" b="0" i="0">
                  <a:latin typeface="Cambria Math" panose="02040503050406030204" pitchFamily="18" charset="0"/>
                  <a:ea typeface="Cambria Math" panose="02040503050406030204" pitchFamily="18" charset="0"/>
                </a:rPr>
                <a:t>𝜇·𝛼·𝐶)/(</a:t>
              </a:r>
              <a:r>
                <a:rPr lang="es-ES" sz="1600" b="0" i="0">
                  <a:latin typeface="Cambria Math" panose="02040503050406030204" pitchFamily="18" charset="0"/>
                </a:rPr>
                <a:t>2·</a:t>
              </a:r>
              <a:r>
                <a:rPr lang="es-ES" sz="1600" b="0" i="0">
                  <a:latin typeface="Cambria Math" panose="02040503050406030204" pitchFamily="18" charset="0"/>
                  <a:ea typeface="Cambria Math" panose="02040503050406030204" pitchFamily="18" charset="0"/>
                </a:rPr>
                <a:t>∆</a:t>
              </a:r>
              <a:r>
                <a:rPr lang="es-ES" sz="1600" b="0" i="0">
                  <a:latin typeface="Cambria Math" panose="02040503050406030204" pitchFamily="18" charset="0"/>
                </a:rPr>
                <a:t>𝑃) (𝑉/𝐴)^2+ </a:t>
              </a:r>
              <a:r>
                <a:rPr lang="es-ES" sz="1600" b="0" i="0">
                  <a:latin typeface="Cambria Math" panose="02040503050406030204" pitchFamily="18" charset="0"/>
                  <a:ea typeface="Cambria Math" panose="02040503050406030204" pitchFamily="18" charset="0"/>
                </a:rPr>
                <a:t> (𝜇·𝑅_𝑀)/∆𝑃 </a:t>
              </a:r>
              <a:r>
                <a:rPr lang="es-ES" sz="1600" b="0" i="0">
                  <a:latin typeface="Cambria Math" panose="02040503050406030204" pitchFamily="18" charset="0"/>
                </a:rPr>
                <a:t>(𝑉/𝐴)</a:t>
              </a:r>
              <a:endParaRPr lang="es-ES_tradnl" sz="1600"/>
            </a:p>
          </xdr:txBody>
        </xdr:sp>
      </mc:Fallback>
    </mc:AlternateContent>
    <xdr:clientData/>
  </xdr:oneCellAnchor>
  <xdr:twoCellAnchor editAs="oneCell">
    <xdr:from>
      <xdr:col>0</xdr:col>
      <xdr:colOff>1147097</xdr:colOff>
      <xdr:row>1</xdr:row>
      <xdr:rowOff>40967</xdr:rowOff>
    </xdr:from>
    <xdr:to>
      <xdr:col>1</xdr:col>
      <xdr:colOff>806790</xdr:colOff>
      <xdr:row>12</xdr:row>
      <xdr:rowOff>89443</xdr:rowOff>
    </xdr:to>
    <xdr:pic>
      <xdr:nvPicPr>
        <xdr:cNvPr id="4" name="Imagen 3">
          <a:extLst>
            <a:ext uri="{FF2B5EF4-FFF2-40B4-BE49-F238E27FC236}">
              <a16:creationId xmlns:a16="http://schemas.microsoft.com/office/drawing/2014/main" id="{5ACB73D0-A457-4209-ACFE-0C4C6FC0B06A}"/>
            </a:ext>
          </a:extLst>
        </xdr:cNvPr>
        <xdr:cNvPicPr>
          <a:picLocks noChangeAspect="1"/>
        </xdr:cNvPicPr>
      </xdr:nvPicPr>
      <xdr:blipFill>
        <a:blip xmlns:r="http://schemas.openxmlformats.org/officeDocument/2006/relationships" r:embed="rId1"/>
        <a:stretch>
          <a:fillRect/>
        </a:stretch>
      </xdr:blipFill>
      <xdr:spPr>
        <a:xfrm>
          <a:off x="1147097" y="235564"/>
          <a:ext cx="3019048" cy="22095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play.google.com/books/reader?id=IWhmvts1TjkC&amp;pg=GBS.PA608" TargetMode="External"/><Relationship Id="rId2" Type="http://schemas.openxmlformats.org/officeDocument/2006/relationships/hyperlink" Target="https://play.google.com/books/reader?id=IWhmvts1TjkC&amp;pg=GBS.PA608" TargetMode="External"/><Relationship Id="rId1" Type="http://schemas.openxmlformats.org/officeDocument/2006/relationships/hyperlink" Target="https://patents.google.com/patent/US4839193A/en?q=paste&amp;q=almond&amp;oq=paste+almond" TargetMode="External"/><Relationship Id="rId5" Type="http://schemas.openxmlformats.org/officeDocument/2006/relationships/drawing" Target="../drawings/drawing10.xml"/><Relationship Id="rId4"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vaxasoftware.com/doc_edu/qui/denh2o.pdf" TargetMode="External"/><Relationship Id="rId1" Type="http://schemas.openxmlformats.org/officeDocument/2006/relationships/hyperlink" Target="https://link.springer.com/article/10.1007/s13197-013-0978-y"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s://www.monografias.com/docs113/dimensionamiento-intercambiadores-calor-tubulares/image047.png"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32"/>
  <sheetViews>
    <sheetView topLeftCell="E1" zoomScale="80" zoomScaleNormal="80" workbookViewId="0">
      <selection activeCell="L3" sqref="L3:Q17"/>
    </sheetView>
  </sheetViews>
  <sheetFormatPr baseColWidth="10" defaultColWidth="11.42578125" defaultRowHeight="15"/>
  <cols>
    <col min="1" max="1" width="29.42578125" bestFit="1" customWidth="1"/>
    <col min="2" max="2" width="14.42578125" bestFit="1" customWidth="1"/>
    <col min="12" max="12" width="18.42578125" bestFit="1" customWidth="1"/>
    <col min="13" max="13" width="22.28515625" bestFit="1" customWidth="1"/>
    <col min="14" max="14" width="13.42578125" bestFit="1" customWidth="1"/>
    <col min="15" max="15" width="21.42578125" bestFit="1" customWidth="1"/>
    <col min="16" max="16" width="11.85546875" bestFit="1" customWidth="1"/>
    <col min="17" max="17" width="13.42578125" bestFit="1" customWidth="1"/>
  </cols>
  <sheetData>
    <row r="2" spans="1:19">
      <c r="A2" s="203"/>
      <c r="B2" s="203"/>
      <c r="C2" s="203"/>
      <c r="D2" s="203"/>
      <c r="E2" s="203"/>
      <c r="F2" s="203"/>
      <c r="G2" s="203"/>
      <c r="H2" s="203"/>
      <c r="I2" s="203"/>
      <c r="J2" s="203"/>
      <c r="K2" s="203"/>
      <c r="L2" s="203"/>
      <c r="M2" s="203"/>
      <c r="N2" s="203"/>
      <c r="O2" s="203"/>
      <c r="P2" s="203"/>
      <c r="Q2" s="203"/>
      <c r="R2" s="203"/>
      <c r="S2" s="203"/>
    </row>
    <row r="3" spans="1:19">
      <c r="A3" s="203"/>
      <c r="B3" s="203"/>
      <c r="C3" s="203"/>
      <c r="D3" s="203"/>
      <c r="E3" s="203"/>
      <c r="F3" s="203"/>
      <c r="G3" s="203"/>
      <c r="H3" s="203"/>
      <c r="I3" s="203"/>
      <c r="J3" s="203"/>
      <c r="K3" s="203"/>
      <c r="L3" s="470" t="s">
        <v>0</v>
      </c>
      <c r="M3" s="471"/>
      <c r="N3" s="472"/>
      <c r="O3" s="470" t="s">
        <v>1</v>
      </c>
      <c r="P3" s="471"/>
      <c r="Q3" s="472"/>
      <c r="R3" s="203"/>
      <c r="S3" s="203"/>
    </row>
    <row r="4" spans="1:19">
      <c r="A4" s="203"/>
      <c r="B4" s="203"/>
      <c r="C4" s="203"/>
      <c r="D4" s="203"/>
      <c r="E4" s="203"/>
      <c r="F4" s="203"/>
      <c r="G4" s="203"/>
      <c r="H4" s="203"/>
      <c r="I4" s="203"/>
      <c r="J4" s="203"/>
      <c r="K4" s="203"/>
      <c r="L4" s="371" t="s">
        <v>2</v>
      </c>
      <c r="M4" s="371" t="s">
        <v>3</v>
      </c>
      <c r="N4" s="371" t="s">
        <v>4</v>
      </c>
      <c r="O4" s="371" t="s">
        <v>2</v>
      </c>
      <c r="P4" s="371" t="s">
        <v>3</v>
      </c>
      <c r="Q4" s="371" t="s">
        <v>4</v>
      </c>
      <c r="R4" s="203"/>
      <c r="S4" s="203"/>
    </row>
    <row r="5" spans="1:19">
      <c r="A5" s="203"/>
      <c r="B5" s="203"/>
      <c r="C5" s="469"/>
      <c r="D5" s="469"/>
      <c r="E5" s="469"/>
      <c r="F5" s="469"/>
      <c r="G5" s="469"/>
      <c r="H5" s="469"/>
      <c r="I5" s="203"/>
      <c r="J5" s="203"/>
      <c r="K5" s="203"/>
      <c r="L5" s="372" t="s">
        <v>5</v>
      </c>
      <c r="M5" s="372">
        <f>'Línea Leche de almendra'!H3</f>
        <v>1086.1125949819489</v>
      </c>
      <c r="N5" s="372" t="s">
        <v>6</v>
      </c>
      <c r="O5" s="372" t="s">
        <v>7</v>
      </c>
      <c r="P5" s="372">
        <f>'Línea Leche de almendra'!P43</f>
        <v>13114.3483715</v>
      </c>
      <c r="Q5" s="372" t="s">
        <v>6</v>
      </c>
      <c r="R5" s="203"/>
      <c r="S5" s="203"/>
    </row>
    <row r="6" spans="1:19">
      <c r="A6" s="203"/>
      <c r="B6" s="203"/>
      <c r="C6" s="469"/>
      <c r="D6" s="469"/>
      <c r="E6" s="469"/>
      <c r="F6" s="469"/>
      <c r="G6" s="469"/>
      <c r="H6" s="469"/>
      <c r="I6" s="203"/>
      <c r="J6" s="203"/>
      <c r="K6" s="203"/>
      <c r="L6" s="372" t="s">
        <v>8</v>
      </c>
      <c r="M6" s="372">
        <f>'Línea Leche de almendra'!H6</f>
        <v>1749.9719487022189</v>
      </c>
      <c r="N6" s="372" t="s">
        <v>6</v>
      </c>
      <c r="O6" s="372" t="s">
        <v>9</v>
      </c>
      <c r="P6" s="372">
        <f>'Linea de Queso de Almendra'!E35</f>
        <v>801.8653805283484</v>
      </c>
      <c r="Q6" s="372" t="s">
        <v>6</v>
      </c>
      <c r="R6" s="203"/>
      <c r="S6" s="203"/>
    </row>
    <row r="7" spans="1:19">
      <c r="A7" s="203"/>
      <c r="B7" s="203"/>
      <c r="C7" s="469"/>
      <c r="D7" s="469"/>
      <c r="E7" s="469"/>
      <c r="F7" s="469"/>
      <c r="G7" s="469"/>
      <c r="H7" s="469"/>
      <c r="I7" s="203"/>
      <c r="J7" s="203"/>
      <c r="K7" s="203"/>
      <c r="L7" s="372" t="s">
        <v>10</v>
      </c>
      <c r="M7" s="372">
        <f>'Línea Leche de almendra'!H4</f>
        <v>45.535931845486111</v>
      </c>
      <c r="N7" s="372" t="s">
        <v>6</v>
      </c>
      <c r="O7" s="372" t="s">
        <v>11</v>
      </c>
      <c r="P7" s="372">
        <f>'Línea de Pellet de Almendra'!E24</f>
        <v>1399.9775589617752</v>
      </c>
      <c r="Q7" s="372" t="s">
        <v>6</v>
      </c>
      <c r="R7" s="203"/>
      <c r="S7" s="203"/>
    </row>
    <row r="8" spans="1:19">
      <c r="A8" s="203"/>
      <c r="B8" s="203"/>
      <c r="C8" s="469"/>
      <c r="D8" s="469"/>
      <c r="E8" s="469"/>
      <c r="F8" s="469"/>
      <c r="G8" s="469"/>
      <c r="H8" s="469"/>
      <c r="I8" s="203"/>
      <c r="J8" s="203"/>
      <c r="K8" s="203"/>
      <c r="L8" s="372" t="s">
        <v>12</v>
      </c>
      <c r="M8" s="372">
        <f>'Línea de Potabilización de Agua'!E3</f>
        <v>16754.068265525257</v>
      </c>
      <c r="N8" s="372" t="s">
        <v>6</v>
      </c>
      <c r="O8" s="372" t="s">
        <v>13</v>
      </c>
      <c r="P8" s="372">
        <f>SUM(P5:P7)</f>
        <v>15316.191310990123</v>
      </c>
      <c r="Q8" s="372" t="s">
        <v>6</v>
      </c>
      <c r="R8" s="203"/>
      <c r="S8" s="203"/>
    </row>
    <row r="9" spans="1:19">
      <c r="A9" s="203"/>
      <c r="B9" s="203"/>
      <c r="C9" s="469"/>
      <c r="D9" s="469"/>
      <c r="E9" s="469"/>
      <c r="F9" s="469"/>
      <c r="G9" s="469"/>
      <c r="H9" s="469"/>
      <c r="I9" s="203"/>
      <c r="J9" s="203"/>
      <c r="K9" s="203"/>
      <c r="L9" s="372" t="s">
        <v>14</v>
      </c>
      <c r="M9" s="372">
        <f>'Linea de Queso de Almendra'!B11+'Linea de Queso de Almendra'!B25+'Línea Leche de almendra'!M19+'Linea de Queso de Almendra'!E27</f>
        <v>1149.1779608002382</v>
      </c>
      <c r="N9" s="372" t="s">
        <v>6</v>
      </c>
      <c r="O9" s="372"/>
      <c r="P9" s="372"/>
      <c r="Q9" s="372"/>
      <c r="R9" s="203"/>
      <c r="S9" s="203"/>
    </row>
    <row r="10" spans="1:19" s="203" customFormat="1">
      <c r="C10" s="469"/>
      <c r="D10" s="469"/>
      <c r="E10" s="469"/>
      <c r="F10" s="469"/>
      <c r="G10" s="469"/>
      <c r="H10" s="469"/>
      <c r="L10" s="372" t="s">
        <v>15</v>
      </c>
      <c r="M10" s="372">
        <f>'Línea de Potabilización de Agua'!E11</f>
        <v>925.9218274121572</v>
      </c>
      <c r="N10" s="372" t="s">
        <v>6</v>
      </c>
      <c r="O10" s="372" t="s">
        <v>16</v>
      </c>
      <c r="P10" s="372">
        <f>'Línea Leche de almendra'!H36+'Línea Leche de almendra'!H55</f>
        <v>5925.1994992108184</v>
      </c>
      <c r="Q10" s="372" t="s">
        <v>6</v>
      </c>
    </row>
    <row r="11" spans="1:19" s="203" customFormat="1">
      <c r="C11" s="469"/>
      <c r="D11" s="469"/>
      <c r="E11" s="469"/>
      <c r="F11" s="469"/>
      <c r="G11" s="469"/>
      <c r="H11" s="469"/>
      <c r="L11" s="373" t="s">
        <v>17</v>
      </c>
      <c r="M11" s="374">
        <f>'Línea Leche de almendra'!H5</f>
        <v>34.999438974044388</v>
      </c>
      <c r="N11" s="372" t="s">
        <v>6</v>
      </c>
      <c r="O11" s="372" t="s">
        <v>18</v>
      </c>
      <c r="P11" s="372">
        <f>'Línea Leche de almendra'!H46</f>
        <v>45.535931845486111</v>
      </c>
      <c r="Q11" s="372" t="s">
        <v>6</v>
      </c>
    </row>
    <row r="12" spans="1:19" s="203" customFormat="1">
      <c r="C12" s="469"/>
      <c r="D12" s="469"/>
      <c r="E12" s="469"/>
      <c r="F12" s="469"/>
      <c r="G12" s="469"/>
      <c r="H12" s="469"/>
      <c r="L12" s="372"/>
      <c r="M12" s="372"/>
      <c r="N12" s="372"/>
      <c r="O12" s="372" t="s">
        <v>19</v>
      </c>
      <c r="P12" s="372">
        <f>'Línea de Potabilización de Agua'!E5</f>
        <v>29.936196403727536</v>
      </c>
      <c r="Q12" s="372" t="s">
        <v>6</v>
      </c>
    </row>
    <row r="13" spans="1:19">
      <c r="A13" s="203"/>
      <c r="B13" s="203"/>
      <c r="C13" s="469"/>
      <c r="D13" s="469"/>
      <c r="E13" s="469"/>
      <c r="F13" s="469"/>
      <c r="G13" s="469"/>
      <c r="H13" s="469"/>
      <c r="I13" s="203"/>
      <c r="J13" s="203"/>
      <c r="K13" s="203"/>
      <c r="L13" s="372" t="s">
        <v>13</v>
      </c>
      <c r="M13" s="372">
        <f>SUM(M5:M11)</f>
        <v>21745.787968241351</v>
      </c>
      <c r="N13" s="372"/>
      <c r="O13" s="372" t="s">
        <v>20</v>
      </c>
      <c r="P13" s="372">
        <f>'Línea de Pellet de Almendra'!E18</f>
        <v>349.99438974044369</v>
      </c>
      <c r="Q13" s="372" t="s">
        <v>6</v>
      </c>
      <c r="R13" s="203"/>
      <c r="S13" s="28"/>
    </row>
    <row r="14" spans="1:19">
      <c r="A14" s="203"/>
      <c r="B14" s="203"/>
      <c r="C14" s="469"/>
      <c r="D14" s="469"/>
      <c r="E14" s="469"/>
      <c r="F14" s="469"/>
      <c r="G14" s="469"/>
      <c r="H14" s="469"/>
      <c r="I14" s="203"/>
      <c r="J14" s="203"/>
      <c r="K14" s="203"/>
      <c r="L14" s="375"/>
      <c r="M14" s="375"/>
      <c r="N14" s="372"/>
      <c r="O14" s="372" t="s">
        <v>21</v>
      </c>
      <c r="P14" s="372">
        <f>'Tanque de Remojo'!N32-'Tanque de Remojo'!N37</f>
        <v>78.930640050749005</v>
      </c>
      <c r="Q14" s="372" t="s">
        <v>6</v>
      </c>
      <c r="R14" s="203"/>
      <c r="S14" s="203"/>
    </row>
    <row r="15" spans="1:19">
      <c r="A15" s="203"/>
      <c r="B15" s="203"/>
      <c r="C15" s="469"/>
      <c r="D15" s="469"/>
      <c r="E15" s="469"/>
      <c r="F15" s="469"/>
      <c r="G15" s="469"/>
      <c r="H15" s="469"/>
      <c r="I15" s="203"/>
      <c r="J15" s="203"/>
      <c r="K15" s="203"/>
      <c r="L15" s="372"/>
      <c r="M15" s="372"/>
      <c r="N15" s="372"/>
      <c r="O15" s="372" t="s">
        <v>13</v>
      </c>
      <c r="P15" s="372">
        <f>SUM(P10:P14)</f>
        <v>6429.5966572512243</v>
      </c>
      <c r="Q15" s="372" t="s">
        <v>6</v>
      </c>
      <c r="R15" s="203"/>
      <c r="S15" s="203"/>
    </row>
    <row r="16" spans="1:19" s="203" customFormat="1">
      <c r="C16" s="469"/>
      <c r="D16" s="469"/>
      <c r="E16" s="469"/>
      <c r="F16" s="469"/>
      <c r="G16" s="469"/>
      <c r="H16" s="469"/>
      <c r="L16" s="372"/>
      <c r="M16" s="372"/>
      <c r="N16" s="372"/>
      <c r="O16" s="375"/>
      <c r="P16" s="375"/>
      <c r="Q16" s="375"/>
    </row>
    <row r="17" spans="1:19" s="203" customFormat="1">
      <c r="C17" s="469"/>
      <c r="D17" s="469"/>
      <c r="E17" s="469"/>
      <c r="F17" s="469"/>
      <c r="G17" s="469"/>
      <c r="H17" s="469"/>
      <c r="L17" s="372"/>
      <c r="M17" s="372"/>
      <c r="N17" s="372"/>
      <c r="O17" s="372" t="s">
        <v>13</v>
      </c>
      <c r="P17" s="378">
        <f>P8+P15</f>
        <v>21745.787968241348</v>
      </c>
      <c r="Q17" s="372" t="s">
        <v>6</v>
      </c>
      <c r="S17" s="203">
        <f>((P17-M13)/P17)*100</f>
        <v>-1.6729579136910567E-14</v>
      </c>
    </row>
    <row r="18" spans="1:19" s="203" customFormat="1">
      <c r="C18" s="469"/>
      <c r="D18" s="469"/>
      <c r="E18" s="469"/>
      <c r="F18" s="469"/>
      <c r="G18" s="469"/>
      <c r="H18" s="469"/>
    </row>
    <row r="19" spans="1:19">
      <c r="A19" s="203"/>
      <c r="B19" s="203"/>
      <c r="C19" s="469"/>
      <c r="D19" s="469"/>
      <c r="E19" s="469"/>
      <c r="F19" s="469"/>
      <c r="G19" s="469"/>
      <c r="H19" s="469"/>
      <c r="I19" s="203"/>
      <c r="J19" s="203"/>
      <c r="K19" s="203"/>
      <c r="L19" s="376"/>
      <c r="M19" s="377"/>
      <c r="N19" s="376"/>
      <c r="O19" s="376"/>
      <c r="P19" s="376"/>
      <c r="Q19" s="376"/>
      <c r="R19" s="203"/>
      <c r="S19" s="203"/>
    </row>
    <row r="20" spans="1:19">
      <c r="A20" s="203"/>
      <c r="B20" s="203"/>
      <c r="C20" s="469"/>
      <c r="D20" s="469"/>
      <c r="E20" s="469"/>
      <c r="F20" s="469"/>
      <c r="G20" s="469"/>
      <c r="H20" s="469"/>
      <c r="I20" s="203"/>
      <c r="J20" s="203"/>
      <c r="K20" s="203"/>
      <c r="L20" s="376"/>
      <c r="M20" s="376"/>
      <c r="N20" s="376"/>
      <c r="O20" s="376"/>
      <c r="P20" s="376"/>
      <c r="Q20" s="376"/>
      <c r="R20" s="203"/>
      <c r="S20" s="203"/>
    </row>
    <row r="21" spans="1:19">
      <c r="A21" s="203"/>
      <c r="B21" s="203"/>
      <c r="C21" s="469"/>
      <c r="D21" s="469"/>
      <c r="E21" s="469"/>
      <c r="F21" s="469"/>
      <c r="G21" s="469"/>
      <c r="H21" s="469"/>
      <c r="I21" s="203"/>
      <c r="J21" s="203"/>
      <c r="K21" s="203"/>
      <c r="L21" s="203"/>
      <c r="M21" s="203"/>
      <c r="N21" s="203"/>
      <c r="O21" s="203"/>
      <c r="P21" s="203"/>
      <c r="Q21" s="203"/>
      <c r="R21" s="203"/>
      <c r="S21" s="203"/>
    </row>
    <row r="22" spans="1:19">
      <c r="A22" s="203"/>
      <c r="B22" s="203"/>
      <c r="C22" s="469"/>
      <c r="D22" s="469"/>
      <c r="E22" s="469"/>
      <c r="F22" s="469"/>
      <c r="G22" s="469"/>
      <c r="H22" s="469"/>
      <c r="I22" s="203"/>
      <c r="J22" s="203"/>
      <c r="K22" s="203"/>
      <c r="L22" s="203"/>
      <c r="M22" s="28"/>
      <c r="N22" s="372"/>
      <c r="O22" s="372"/>
      <c r="P22" s="372"/>
      <c r="Q22" s="203"/>
      <c r="R22" s="203"/>
      <c r="S22" s="203"/>
    </row>
    <row r="23" spans="1:19">
      <c r="A23" s="203"/>
      <c r="B23" s="203"/>
      <c r="C23" s="203"/>
      <c r="D23" s="203"/>
      <c r="E23" s="203"/>
      <c r="F23" s="203"/>
      <c r="G23" s="203"/>
      <c r="H23" s="203"/>
      <c r="I23" s="203"/>
      <c r="J23" s="203"/>
      <c r="K23" s="203"/>
      <c r="L23" s="203"/>
      <c r="M23" s="28"/>
      <c r="N23" s="203"/>
      <c r="O23" s="203"/>
      <c r="P23" s="203"/>
      <c r="Q23" s="203"/>
      <c r="R23" s="203"/>
      <c r="S23" s="203"/>
    </row>
    <row r="24" spans="1:19">
      <c r="A24" s="203"/>
      <c r="B24" s="203"/>
      <c r="C24" s="203"/>
      <c r="D24" s="203"/>
      <c r="E24" s="203"/>
      <c r="F24" s="203"/>
      <c r="G24" s="203"/>
      <c r="H24" s="203"/>
      <c r="I24" s="203"/>
      <c r="J24" s="203"/>
      <c r="K24" s="203"/>
      <c r="L24" s="203"/>
      <c r="M24" s="203"/>
      <c r="N24" s="203"/>
      <c r="O24" s="28">
        <f>P11+P13+P14</f>
        <v>474.4609616366788</v>
      </c>
      <c r="P24" s="203"/>
      <c r="Q24" s="203"/>
      <c r="R24" s="203"/>
      <c r="S24" s="203"/>
    </row>
    <row r="25" spans="1:19">
      <c r="A25" s="203"/>
      <c r="B25" s="203"/>
      <c r="C25" s="203"/>
      <c r="D25" s="203"/>
      <c r="E25" s="203"/>
      <c r="F25" s="203"/>
      <c r="G25" s="203"/>
      <c r="H25" s="203"/>
      <c r="I25" s="203"/>
      <c r="J25" s="203"/>
      <c r="K25" s="203"/>
      <c r="L25" s="203"/>
      <c r="M25" s="203"/>
      <c r="N25" s="203"/>
      <c r="O25" s="203"/>
      <c r="P25" s="203"/>
      <c r="Q25" s="203"/>
      <c r="R25" s="203"/>
      <c r="S25" s="203"/>
    </row>
    <row r="26" spans="1:19">
      <c r="A26" s="203"/>
      <c r="B26" s="203"/>
      <c r="C26" s="203"/>
      <c r="D26" s="203"/>
      <c r="E26" s="203"/>
      <c r="F26" s="203"/>
      <c r="G26" s="203"/>
      <c r="H26" s="203"/>
      <c r="I26" s="203"/>
      <c r="J26" s="203"/>
      <c r="K26" s="203"/>
      <c r="L26" s="203"/>
      <c r="M26" s="203"/>
      <c r="N26" s="203"/>
      <c r="O26" s="203"/>
      <c r="P26" s="203"/>
      <c r="Q26" s="203"/>
      <c r="R26" s="203"/>
      <c r="S26" s="203"/>
    </row>
    <row r="27" spans="1:19">
      <c r="A27" s="203"/>
      <c r="B27" s="203"/>
      <c r="C27" s="203"/>
      <c r="D27" s="203"/>
      <c r="E27" s="203"/>
      <c r="F27" s="203"/>
      <c r="G27" s="203"/>
      <c r="H27" s="203"/>
      <c r="I27" s="203"/>
      <c r="J27" s="203"/>
      <c r="K27" s="203"/>
      <c r="L27" s="203"/>
      <c r="M27" s="203"/>
      <c r="N27" s="203"/>
      <c r="O27" s="203"/>
      <c r="P27" s="203"/>
      <c r="Q27" s="203"/>
      <c r="R27" s="203"/>
      <c r="S27" s="203"/>
    </row>
    <row r="28" spans="1:19">
      <c r="A28" s="203"/>
      <c r="B28" s="203"/>
      <c r="C28" s="203"/>
      <c r="D28" s="203"/>
      <c r="E28" s="203"/>
      <c r="F28" s="203"/>
      <c r="G28" s="203"/>
      <c r="H28" s="203"/>
      <c r="I28" s="203"/>
      <c r="J28" s="203"/>
      <c r="K28" s="203"/>
      <c r="L28" s="203"/>
      <c r="M28" s="203"/>
      <c r="N28" s="203"/>
      <c r="O28" s="203"/>
      <c r="P28" s="203"/>
      <c r="Q28" s="203"/>
      <c r="R28" s="203"/>
      <c r="S28" s="203"/>
    </row>
    <row r="29" spans="1:19">
      <c r="A29" s="203"/>
      <c r="B29" s="203"/>
      <c r="C29" s="203"/>
      <c r="D29" s="203"/>
      <c r="E29" s="203"/>
      <c r="F29" s="203"/>
      <c r="G29" s="203"/>
      <c r="H29" s="203"/>
      <c r="I29" s="203"/>
      <c r="J29" s="203"/>
      <c r="K29" s="203"/>
      <c r="L29" s="28">
        <f>SUM(P10:P13)</f>
        <v>6350.6660172004749</v>
      </c>
      <c r="M29" s="203"/>
      <c r="N29" s="203"/>
      <c r="O29" s="203"/>
      <c r="P29" s="203"/>
      <c r="Q29" s="203"/>
      <c r="R29" s="203"/>
      <c r="S29" s="203"/>
    </row>
    <row r="30" spans="1:19">
      <c r="A30" s="203"/>
      <c r="B30" s="203"/>
      <c r="C30" s="203"/>
      <c r="D30" s="203"/>
      <c r="E30" s="203"/>
      <c r="F30" s="203"/>
      <c r="G30" s="203"/>
      <c r="H30" s="203"/>
      <c r="I30" s="203"/>
      <c r="J30" s="203"/>
      <c r="K30" s="203"/>
      <c r="L30" s="203"/>
      <c r="M30" s="203"/>
      <c r="N30" s="203"/>
      <c r="O30" s="203"/>
      <c r="P30" s="203"/>
      <c r="Q30" s="203"/>
      <c r="R30" s="203"/>
      <c r="S30" s="203"/>
    </row>
    <row r="31" spans="1:19">
      <c r="A31" s="203"/>
      <c r="B31" s="203"/>
      <c r="C31" s="203"/>
      <c r="D31" s="203"/>
      <c r="E31" s="203"/>
      <c r="F31" s="203"/>
      <c r="G31" s="203"/>
      <c r="H31" s="203"/>
      <c r="I31" s="203"/>
      <c r="J31" s="203"/>
      <c r="K31" s="203"/>
      <c r="L31" s="203"/>
      <c r="M31" s="203"/>
      <c r="N31" s="203"/>
      <c r="O31" s="203"/>
      <c r="P31" s="203"/>
      <c r="Q31" s="203"/>
      <c r="R31" s="203"/>
      <c r="S31" s="203"/>
    </row>
    <row r="32" spans="1:19">
      <c r="A32" s="203"/>
      <c r="B32" s="203"/>
      <c r="C32" s="203"/>
      <c r="D32" s="203"/>
      <c r="E32" s="203"/>
      <c r="F32" s="203"/>
      <c r="G32" s="203"/>
      <c r="H32" s="203"/>
      <c r="I32" s="203"/>
      <c r="J32" s="203"/>
      <c r="K32" s="203"/>
      <c r="L32" s="203"/>
      <c r="M32" s="203"/>
      <c r="N32" s="203"/>
      <c r="O32" s="203"/>
      <c r="P32" s="203"/>
      <c r="Q32" s="203"/>
      <c r="R32" s="203"/>
      <c r="S32" s="203"/>
    </row>
  </sheetData>
  <mergeCells count="3">
    <mergeCell ref="C5:H22"/>
    <mergeCell ref="L3:N3"/>
    <mergeCell ref="O3:Q3"/>
  </mergeCells>
  <pageMargins left="0.7" right="0.7" top="0.75" bottom="0.75" header="0.3" footer="0.3"/>
  <pageSetup orientation="portrait"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76"/>
  <sheetViews>
    <sheetView topLeftCell="D2" zoomScale="95" zoomScaleNormal="95" workbookViewId="0">
      <selection activeCell="E8" sqref="E8:E12"/>
    </sheetView>
  </sheetViews>
  <sheetFormatPr baseColWidth="10" defaultColWidth="11.42578125" defaultRowHeight="15"/>
  <cols>
    <col min="1" max="1" width="54.28515625" bestFit="1" customWidth="1"/>
    <col min="2" max="2" width="11.85546875" bestFit="1" customWidth="1"/>
    <col min="3" max="3" width="13.28515625" bestFit="1" customWidth="1"/>
    <col min="4" max="4" width="20.7109375" customWidth="1"/>
    <col min="5" max="5" width="77.42578125" customWidth="1"/>
    <col min="6" max="6" width="94" bestFit="1" customWidth="1"/>
    <col min="8" max="8" width="14" bestFit="1" customWidth="1"/>
    <col min="9" max="9" width="17.42578125" bestFit="1" customWidth="1"/>
    <col min="10" max="10" width="13.42578125" customWidth="1"/>
    <col min="11" max="11" width="19.140625" bestFit="1" customWidth="1"/>
    <col min="13" max="13" width="17" bestFit="1" customWidth="1"/>
    <col min="14" max="14" width="14" bestFit="1" customWidth="1"/>
  </cols>
  <sheetData>
    <row r="1" spans="1:14">
      <c r="A1" s="541" t="s">
        <v>75</v>
      </c>
      <c r="B1" s="541"/>
      <c r="C1" s="541"/>
      <c r="D1" s="3"/>
      <c r="E1" s="539" t="s">
        <v>507</v>
      </c>
      <c r="F1" s="540"/>
      <c r="G1" s="540"/>
      <c r="H1" s="203"/>
      <c r="I1" s="203"/>
      <c r="J1" s="203"/>
      <c r="K1" s="203"/>
      <c r="L1" s="203"/>
      <c r="M1" s="203"/>
      <c r="N1" s="203"/>
    </row>
    <row r="2" spans="1:14">
      <c r="A2" s="541"/>
      <c r="B2" s="541"/>
      <c r="C2" s="541"/>
      <c r="D2" s="3"/>
      <c r="E2" s="540"/>
      <c r="F2" s="540"/>
      <c r="G2" s="540"/>
      <c r="H2" s="203"/>
      <c r="I2" s="203"/>
      <c r="J2" s="203"/>
      <c r="K2" s="203"/>
      <c r="L2" s="203"/>
      <c r="M2" s="203"/>
      <c r="N2" s="203"/>
    </row>
    <row r="3" spans="1:14">
      <c r="A3" s="541"/>
      <c r="B3" s="541"/>
      <c r="C3" s="541"/>
      <c r="D3" s="3"/>
      <c r="E3" s="540"/>
      <c r="F3" s="540"/>
      <c r="G3" s="540"/>
      <c r="H3" s="203"/>
      <c r="I3" s="575" t="s">
        <v>161</v>
      </c>
      <c r="J3" s="575"/>
      <c r="K3" s="575"/>
      <c r="L3" s="575"/>
      <c r="M3" s="575"/>
      <c r="N3" s="575"/>
    </row>
    <row r="4" spans="1:14" ht="30">
      <c r="A4" s="541"/>
      <c r="B4" s="541"/>
      <c r="C4" s="541"/>
      <c r="D4" s="3"/>
      <c r="E4" s="540"/>
      <c r="F4" s="540"/>
      <c r="G4" s="540"/>
      <c r="H4" s="203"/>
      <c r="I4" s="210" t="s">
        <v>30</v>
      </c>
      <c r="J4" s="280" t="s">
        <v>60</v>
      </c>
      <c r="K4" s="210" t="s">
        <v>2</v>
      </c>
      <c r="L4" s="280" t="s">
        <v>31</v>
      </c>
      <c r="M4" s="210" t="s">
        <v>3</v>
      </c>
      <c r="N4" s="210" t="s">
        <v>4</v>
      </c>
    </row>
    <row r="5" spans="1:14">
      <c r="A5" s="541"/>
      <c r="B5" s="541"/>
      <c r="C5" s="541"/>
      <c r="D5" s="3"/>
      <c r="E5" s="540"/>
      <c r="F5" s="540"/>
      <c r="G5" s="540"/>
      <c r="H5" s="203"/>
      <c r="I5" s="281" t="s">
        <v>159</v>
      </c>
      <c r="J5" s="282">
        <v>564.46418596794899</v>
      </c>
      <c r="K5" s="281" t="s">
        <v>160</v>
      </c>
      <c r="L5" s="281">
        <v>1</v>
      </c>
      <c r="M5" s="282">
        <f>'Linea de Queso de Almendra'!E24</f>
        <v>561.07007931481792</v>
      </c>
      <c r="N5" s="281" t="s">
        <v>6</v>
      </c>
    </row>
    <row r="6" spans="1:14" ht="15.75">
      <c r="A6" s="541"/>
      <c r="B6" s="541"/>
      <c r="C6" s="541"/>
      <c r="D6" s="3"/>
      <c r="E6" s="5"/>
      <c r="F6" s="2"/>
      <c r="G6" s="2"/>
      <c r="H6" s="203"/>
      <c r="I6" s="281" t="s">
        <v>162</v>
      </c>
      <c r="J6" s="282">
        <v>120.95661127884622</v>
      </c>
      <c r="K6" s="281" t="s">
        <v>163</v>
      </c>
      <c r="L6" s="281">
        <v>1</v>
      </c>
      <c r="M6" s="282">
        <f>'Linea de Queso de Almendra'!E25</f>
        <v>120.22930271031814</v>
      </c>
      <c r="N6" s="281" t="s">
        <v>6</v>
      </c>
    </row>
    <row r="7" spans="1:14" ht="15" customHeight="1">
      <c r="A7" s="541"/>
      <c r="B7" s="541"/>
      <c r="C7" s="541"/>
      <c r="D7" s="3"/>
      <c r="E7" s="411" t="s">
        <v>508</v>
      </c>
      <c r="F7" s="399"/>
      <c r="G7" s="399"/>
      <c r="H7" s="203"/>
      <c r="I7" s="281" t="s">
        <v>164</v>
      </c>
      <c r="J7" s="282">
        <v>120.95661127884622</v>
      </c>
      <c r="K7" s="281" t="s">
        <v>134</v>
      </c>
      <c r="L7" s="281">
        <v>1</v>
      </c>
      <c r="M7" s="282">
        <f>'Linea de Queso de Almendra'!E26</f>
        <v>120.22930271031814</v>
      </c>
      <c r="N7" s="281" t="s">
        <v>6</v>
      </c>
    </row>
    <row r="8" spans="1:14" ht="15" customHeight="1">
      <c r="A8" s="541"/>
      <c r="B8" s="541"/>
      <c r="C8" s="541"/>
      <c r="D8" s="3"/>
      <c r="E8" s="572" t="s">
        <v>509</v>
      </c>
      <c r="F8" s="399"/>
      <c r="G8" s="399"/>
      <c r="H8" s="203"/>
      <c r="I8" s="281" t="s">
        <v>165</v>
      </c>
      <c r="J8" s="282">
        <v>0.33873258200988549</v>
      </c>
      <c r="K8" s="281" t="s">
        <v>166</v>
      </c>
      <c r="L8" s="281">
        <v>1</v>
      </c>
      <c r="M8" s="282">
        <f>'Linea de Queso de Almendra'!E27</f>
        <v>0.33669579289409679</v>
      </c>
      <c r="N8" s="281" t="s">
        <v>6</v>
      </c>
    </row>
    <row r="9" spans="1:14" ht="30">
      <c r="A9" s="541"/>
      <c r="B9" s="541"/>
      <c r="C9" s="541"/>
      <c r="D9" s="3"/>
      <c r="E9" s="572"/>
      <c r="F9" s="399"/>
      <c r="G9" s="399"/>
      <c r="H9" s="203"/>
      <c r="I9" s="210" t="s">
        <v>30</v>
      </c>
      <c r="J9" s="283" t="s">
        <v>46</v>
      </c>
      <c r="K9" s="210" t="s">
        <v>2</v>
      </c>
      <c r="L9" s="210" t="s">
        <v>31</v>
      </c>
      <c r="M9" s="256" t="str">
        <f>'Linea de Queso de Almendra'!E28</f>
        <v>Masa en corriente</v>
      </c>
      <c r="N9" s="210" t="s">
        <v>4</v>
      </c>
    </row>
    <row r="10" spans="1:14" ht="15" customHeight="1">
      <c r="A10" s="541"/>
      <c r="B10" s="541"/>
      <c r="C10" s="541"/>
      <c r="D10" s="3"/>
      <c r="E10" s="572"/>
      <c r="F10" s="399"/>
      <c r="G10" s="399"/>
      <c r="H10" s="203"/>
      <c r="I10" s="281" t="s">
        <v>167</v>
      </c>
      <c r="J10" s="282">
        <v>806.71614110765142</v>
      </c>
      <c r="K10" s="281" t="s">
        <v>168</v>
      </c>
      <c r="L10" s="281">
        <v>1</v>
      </c>
      <c r="M10" s="282">
        <f>'Linea de Queso de Almendra'!E29</f>
        <v>801.8653805283484</v>
      </c>
      <c r="N10" s="281" t="s">
        <v>6</v>
      </c>
    </row>
    <row r="11" spans="1:14" ht="15" customHeight="1">
      <c r="A11" s="541"/>
      <c r="B11" s="541"/>
      <c r="C11" s="541"/>
      <c r="D11" s="3"/>
      <c r="E11" s="572"/>
      <c r="F11" s="399"/>
      <c r="G11" s="399"/>
      <c r="H11" s="203"/>
      <c r="I11" s="203"/>
      <c r="J11" s="203"/>
      <c r="K11" s="203"/>
      <c r="L11" s="203"/>
      <c r="M11" s="203"/>
      <c r="N11" s="203"/>
    </row>
    <row r="12" spans="1:14" ht="15.75">
      <c r="A12" s="541"/>
      <c r="B12" s="541"/>
      <c r="C12" s="541"/>
      <c r="D12" s="3"/>
      <c r="E12" s="572"/>
      <c r="F12" s="2"/>
      <c r="G12" s="2"/>
      <c r="H12" s="203"/>
      <c r="I12" s="576" t="s">
        <v>72</v>
      </c>
      <c r="J12" s="576"/>
      <c r="K12" s="576"/>
      <c r="L12" s="576"/>
      <c r="M12" s="576"/>
      <c r="N12" s="576"/>
    </row>
    <row r="13" spans="1:14" ht="30">
      <c r="A13" s="541"/>
      <c r="B13" s="541"/>
      <c r="C13" s="541"/>
      <c r="D13" s="3"/>
      <c r="E13" s="5"/>
      <c r="F13" s="2"/>
      <c r="G13" s="2"/>
      <c r="H13" s="203"/>
      <c r="I13" s="210" t="s">
        <v>30</v>
      </c>
      <c r="J13" s="280" t="s">
        <v>60</v>
      </c>
      <c r="K13" s="280" t="s">
        <v>2</v>
      </c>
      <c r="L13" s="280" t="s">
        <v>31</v>
      </c>
      <c r="M13" s="210" t="s">
        <v>3</v>
      </c>
      <c r="N13" s="210" t="s">
        <v>4</v>
      </c>
    </row>
    <row r="14" spans="1:14" ht="16.5" thickBot="1">
      <c r="A14" s="536" t="s">
        <v>202</v>
      </c>
      <c r="B14" s="537"/>
      <c r="C14" s="537"/>
      <c r="D14" s="537"/>
      <c r="E14" s="537"/>
      <c r="F14" s="538"/>
      <c r="G14" s="2"/>
      <c r="H14" s="203"/>
      <c r="I14" s="405" t="s">
        <v>69</v>
      </c>
      <c r="J14" s="329">
        <f>M14</f>
        <v>512.36919643029171</v>
      </c>
      <c r="K14" s="284" t="s">
        <v>70</v>
      </c>
      <c r="L14" s="282">
        <v>1</v>
      </c>
      <c r="M14" s="282">
        <f>'Linea de Queso de Almendra'!E10</f>
        <v>512.36919643029171</v>
      </c>
      <c r="N14" s="281" t="s">
        <v>6</v>
      </c>
    </row>
    <row r="15" spans="1:14" ht="16.5" thickBot="1">
      <c r="A15" s="23" t="s">
        <v>204</v>
      </c>
      <c r="B15" s="40" t="s">
        <v>205</v>
      </c>
      <c r="C15" s="25" t="s">
        <v>206</v>
      </c>
      <c r="D15" s="24" t="s">
        <v>207</v>
      </c>
      <c r="E15" s="26" t="s">
        <v>172</v>
      </c>
      <c r="F15" s="23" t="s">
        <v>208</v>
      </c>
      <c r="G15" s="2"/>
      <c r="H15" s="203"/>
      <c r="I15" s="578" t="s">
        <v>151</v>
      </c>
      <c r="J15" s="577">
        <f>SUM(M15:M23)</f>
        <v>49.823023043155821</v>
      </c>
      <c r="K15" s="284" t="s">
        <v>152</v>
      </c>
      <c r="L15" s="282">
        <v>0.67165898617511521</v>
      </c>
      <c r="M15" s="282">
        <f>'Linea de Queso de Almendra'!E11</f>
        <v>32.710385624053885</v>
      </c>
      <c r="N15" s="281" t="s">
        <v>6</v>
      </c>
    </row>
    <row r="16" spans="1:14" ht="28.5" customHeight="1">
      <c r="A16" s="27" t="s">
        <v>510</v>
      </c>
      <c r="B16" s="407" t="s">
        <v>159</v>
      </c>
      <c r="C16" s="286">
        <f>M5</f>
        <v>561.07007931481792</v>
      </c>
      <c r="D16" s="438" t="s">
        <v>280</v>
      </c>
      <c r="E16" s="17"/>
      <c r="F16" s="18"/>
      <c r="G16" s="2"/>
      <c r="H16" s="203"/>
      <c r="I16" s="578"/>
      <c r="J16" s="577"/>
      <c r="K16" s="284" t="s">
        <v>153</v>
      </c>
      <c r="L16" s="282">
        <v>7.4884792626728119E-2</v>
      </c>
      <c r="M16" s="282">
        <f>'Linea de Queso de Almendra'!E12</f>
        <v>3.6469555155463169</v>
      </c>
      <c r="N16" s="281" t="s">
        <v>6</v>
      </c>
    </row>
    <row r="17" spans="1:14" ht="30.75" customHeight="1">
      <c r="A17" s="443" t="s">
        <v>511</v>
      </c>
      <c r="B17" s="407" t="s">
        <v>162</v>
      </c>
      <c r="C17" s="286">
        <f t="shared" ref="C17:C19" si="0">M6</f>
        <v>120.22930271031814</v>
      </c>
      <c r="D17" s="438" t="s">
        <v>280</v>
      </c>
      <c r="E17" s="428"/>
      <c r="F17" s="435"/>
      <c r="G17" s="203"/>
      <c r="H17" s="203"/>
      <c r="I17" s="578"/>
      <c r="J17" s="577"/>
      <c r="K17" s="579" t="s">
        <v>154</v>
      </c>
      <c r="L17" s="581">
        <v>9.216589861751151E-2</v>
      </c>
      <c r="M17" s="581">
        <f>'Linea de Queso de Almendra'!E13</f>
        <v>4.488560634518544</v>
      </c>
      <c r="N17" s="584" t="s">
        <v>6</v>
      </c>
    </row>
    <row r="18" spans="1:14" s="203" customFormat="1" ht="15.75">
      <c r="A18" s="444" t="s">
        <v>512</v>
      </c>
      <c r="B18" s="407" t="s">
        <v>164</v>
      </c>
      <c r="C18" s="286">
        <f t="shared" si="0"/>
        <v>120.22930271031814</v>
      </c>
      <c r="D18" s="438" t="s">
        <v>280</v>
      </c>
      <c r="E18" s="428"/>
      <c r="F18" s="435"/>
      <c r="I18" s="578"/>
      <c r="J18" s="577"/>
      <c r="K18" s="580"/>
      <c r="L18" s="582"/>
      <c r="M18" s="583"/>
      <c r="N18" s="583"/>
    </row>
    <row r="19" spans="1:14" s="203" customFormat="1" ht="15.75">
      <c r="A19" s="444" t="s">
        <v>513</v>
      </c>
      <c r="B19" s="407" t="s">
        <v>165</v>
      </c>
      <c r="C19" s="286">
        <f t="shared" si="0"/>
        <v>0.33669579289409679</v>
      </c>
      <c r="D19" s="438" t="s">
        <v>280</v>
      </c>
      <c r="E19" s="428"/>
      <c r="F19" s="435"/>
      <c r="I19" s="578"/>
      <c r="J19" s="577"/>
      <c r="K19" s="579" t="s">
        <v>155</v>
      </c>
      <c r="L19" s="581">
        <v>1.1520737327188939E-2</v>
      </c>
      <c r="M19" s="581">
        <f>'Linea de Queso de Almendra'!E15</f>
        <v>1.6832102379444538</v>
      </c>
      <c r="N19" s="584" t="s">
        <v>6</v>
      </c>
    </row>
    <row r="20" spans="1:14" ht="15.75">
      <c r="A20" s="140" t="s">
        <v>514</v>
      </c>
      <c r="B20" s="407" t="s">
        <v>167</v>
      </c>
      <c r="C20" s="445">
        <f>M10</f>
        <v>801.8653805283484</v>
      </c>
      <c r="D20" s="438" t="s">
        <v>280</v>
      </c>
      <c r="E20" s="428"/>
      <c r="F20" s="435"/>
      <c r="G20" s="203"/>
      <c r="H20" s="203"/>
      <c r="I20" s="578"/>
      <c r="J20" s="577"/>
      <c r="K20" s="580"/>
      <c r="L20" s="582"/>
      <c r="M20" s="583"/>
      <c r="N20" s="583"/>
    </row>
    <row r="21" spans="1:14" ht="31.5">
      <c r="A21" s="446" t="s">
        <v>515</v>
      </c>
      <c r="B21" s="438" t="s">
        <v>516</v>
      </c>
      <c r="C21" s="445">
        <v>90</v>
      </c>
      <c r="D21" s="438" t="s">
        <v>285</v>
      </c>
      <c r="E21" s="443" t="s">
        <v>517</v>
      </c>
      <c r="F21" s="81" t="s">
        <v>224</v>
      </c>
      <c r="G21" s="203"/>
      <c r="H21" s="203"/>
      <c r="I21" s="578"/>
      <c r="J21" s="577"/>
      <c r="K21" s="284" t="s">
        <v>156</v>
      </c>
      <c r="L21" s="282">
        <v>3.4562211981566816E-2</v>
      </c>
      <c r="M21" s="282">
        <f>'Linea de Queso de Almendra'!E15</f>
        <v>1.6832102379444538</v>
      </c>
      <c r="N21" s="281" t="s">
        <v>6</v>
      </c>
    </row>
    <row r="22" spans="1:14" ht="31.5">
      <c r="A22" s="421" t="s">
        <v>518</v>
      </c>
      <c r="B22" s="438" t="s">
        <v>519</v>
      </c>
      <c r="C22" s="447">
        <v>37.090000000000003</v>
      </c>
      <c r="D22" s="438" t="s">
        <v>285</v>
      </c>
      <c r="E22" s="443" t="s">
        <v>520</v>
      </c>
      <c r="F22" s="435" t="s">
        <v>521</v>
      </c>
      <c r="G22" s="203"/>
      <c r="H22" s="203"/>
      <c r="I22" s="578"/>
      <c r="J22" s="577"/>
      <c r="K22" s="284" t="s">
        <v>157</v>
      </c>
      <c r="L22" s="282">
        <v>9.216589861751151E-2</v>
      </c>
      <c r="M22" s="282">
        <f>'Linea de Queso de Almendra'!E16</f>
        <v>4.488560634518544</v>
      </c>
      <c r="N22" s="281" t="s">
        <v>6</v>
      </c>
    </row>
    <row r="23" spans="1:14" ht="15.75">
      <c r="A23" s="421" t="s">
        <v>522</v>
      </c>
      <c r="B23" s="438" t="s">
        <v>523</v>
      </c>
      <c r="C23" s="447">
        <v>53.73</v>
      </c>
      <c r="D23" s="438" t="s">
        <v>285</v>
      </c>
      <c r="E23" s="443" t="s">
        <v>524</v>
      </c>
      <c r="F23" s="81" t="s">
        <v>102</v>
      </c>
      <c r="G23" s="203"/>
      <c r="H23" s="203"/>
      <c r="I23" s="578"/>
      <c r="J23" s="577"/>
      <c r="K23" s="284" t="s">
        <v>158</v>
      </c>
      <c r="L23" s="282">
        <v>2.3041474654377878E-2</v>
      </c>
      <c r="M23" s="282">
        <f>'Linea de Queso de Almendra'!E17</f>
        <v>1.122140158629636</v>
      </c>
      <c r="N23" s="281" t="s">
        <v>6</v>
      </c>
    </row>
    <row r="24" spans="1:14" ht="30">
      <c r="A24" s="421" t="s">
        <v>525</v>
      </c>
      <c r="B24" s="438" t="s">
        <v>526</v>
      </c>
      <c r="C24" s="447">
        <v>7.11</v>
      </c>
      <c r="D24" s="438" t="s">
        <v>285</v>
      </c>
      <c r="E24" s="443" t="s">
        <v>524</v>
      </c>
      <c r="F24" s="81" t="s">
        <v>102</v>
      </c>
      <c r="G24" s="203"/>
      <c r="H24" s="203"/>
      <c r="I24" s="210" t="s">
        <v>30</v>
      </c>
      <c r="J24" s="330" t="s">
        <v>46</v>
      </c>
      <c r="K24" s="280" t="s">
        <v>2</v>
      </c>
      <c r="L24" s="283" t="s">
        <v>31</v>
      </c>
      <c r="M24" s="282" t="str">
        <f>'Linea de Queso de Almendra'!E18</f>
        <v>Masa en corriente</v>
      </c>
      <c r="N24" s="210" t="s">
        <v>4</v>
      </c>
    </row>
    <row r="25" spans="1:14" ht="15.75">
      <c r="A25" s="421" t="s">
        <v>527</v>
      </c>
      <c r="B25" s="438" t="s">
        <v>528</v>
      </c>
      <c r="C25" s="447">
        <v>23.5</v>
      </c>
      <c r="D25" s="438" t="s">
        <v>285</v>
      </c>
      <c r="E25" s="443" t="s">
        <v>524</v>
      </c>
      <c r="F25" s="81" t="s">
        <v>102</v>
      </c>
      <c r="G25" s="203"/>
      <c r="H25" s="203"/>
      <c r="I25" s="285" t="s">
        <v>159</v>
      </c>
      <c r="J25" s="329">
        <f>M25</f>
        <v>561.07007931481792</v>
      </c>
      <c r="K25" s="284" t="s">
        <v>160</v>
      </c>
      <c r="L25" s="282">
        <v>1</v>
      </c>
      <c r="M25" s="282">
        <f>'Linea de Queso de Almendra'!E19</f>
        <v>561.07007931481792</v>
      </c>
      <c r="N25" s="281" t="s">
        <v>6</v>
      </c>
    </row>
    <row r="26" spans="1:14" ht="15.75">
      <c r="A26" s="446" t="s">
        <v>529</v>
      </c>
      <c r="B26" s="438" t="s">
        <v>530</v>
      </c>
      <c r="C26" s="447">
        <v>15.66</v>
      </c>
      <c r="D26" s="438" t="s">
        <v>285</v>
      </c>
      <c r="E26" s="443" t="s">
        <v>524</v>
      </c>
      <c r="F26" s="81" t="s">
        <v>102</v>
      </c>
      <c r="G26" s="203"/>
      <c r="H26" s="203"/>
      <c r="I26" s="203"/>
      <c r="J26" s="203"/>
      <c r="K26" s="203"/>
      <c r="L26" s="203"/>
      <c r="M26" s="203"/>
      <c r="N26" s="203"/>
    </row>
    <row r="27" spans="1:14" ht="15.75">
      <c r="A27" s="421" t="s">
        <v>531</v>
      </c>
      <c r="B27" s="438" t="s">
        <v>532</v>
      </c>
      <c r="C27" s="448">
        <v>12.01</v>
      </c>
      <c r="D27" s="438" t="s">
        <v>346</v>
      </c>
      <c r="E27" s="443"/>
      <c r="F27" s="435" t="s">
        <v>107</v>
      </c>
      <c r="G27" s="203"/>
      <c r="H27" s="203"/>
      <c r="I27" s="203"/>
      <c r="J27" s="203"/>
      <c r="K27" s="203"/>
      <c r="L27" s="203"/>
      <c r="M27" s="203"/>
      <c r="N27" s="203"/>
    </row>
    <row r="28" spans="1:14" ht="15.75">
      <c r="A28" s="421" t="s">
        <v>533</v>
      </c>
      <c r="B28" s="438" t="s">
        <v>534</v>
      </c>
      <c r="C28" s="447">
        <v>1</v>
      </c>
      <c r="D28" s="438" t="s">
        <v>346</v>
      </c>
      <c r="E28" s="443"/>
      <c r="F28" s="435" t="s">
        <v>107</v>
      </c>
      <c r="G28" s="203"/>
      <c r="H28" s="203"/>
      <c r="I28" s="203"/>
      <c r="J28" s="203"/>
      <c r="K28" s="203"/>
      <c r="L28" s="203"/>
      <c r="M28" s="203"/>
      <c r="N28" s="203"/>
    </row>
    <row r="29" spans="1:14" ht="15.75">
      <c r="A29" s="421" t="s">
        <v>535</v>
      </c>
      <c r="B29" s="438" t="s">
        <v>536</v>
      </c>
      <c r="C29" s="447">
        <v>15.99</v>
      </c>
      <c r="D29" s="438" t="s">
        <v>346</v>
      </c>
      <c r="E29" s="443"/>
      <c r="F29" s="435" t="s">
        <v>107</v>
      </c>
      <c r="G29" s="203"/>
      <c r="H29" s="203"/>
      <c r="I29" s="203"/>
      <c r="J29" s="203"/>
      <c r="K29" s="203"/>
      <c r="L29" s="203"/>
      <c r="M29" s="203"/>
      <c r="N29" s="203"/>
    </row>
    <row r="30" spans="1:14" ht="15.75">
      <c r="A30" s="446" t="s">
        <v>537</v>
      </c>
      <c r="B30" s="438" t="s">
        <v>538</v>
      </c>
      <c r="C30" s="445">
        <v>14.01</v>
      </c>
      <c r="D30" s="438" t="s">
        <v>346</v>
      </c>
      <c r="E30" s="428"/>
      <c r="F30" s="435" t="s">
        <v>107</v>
      </c>
      <c r="G30" s="203"/>
      <c r="H30" s="203"/>
      <c r="I30" s="203"/>
      <c r="J30" s="203"/>
      <c r="K30" s="203"/>
      <c r="L30" s="203"/>
      <c r="M30" s="203"/>
      <c r="N30" s="203"/>
    </row>
    <row r="31" spans="1:14" ht="18.75">
      <c r="A31" s="443" t="s">
        <v>539</v>
      </c>
      <c r="B31" s="427" t="s">
        <v>295</v>
      </c>
      <c r="C31" s="52">
        <v>997.13</v>
      </c>
      <c r="D31" s="427" t="s">
        <v>244</v>
      </c>
      <c r="E31" s="428"/>
      <c r="F31" s="428"/>
      <c r="G31" s="203"/>
      <c r="H31" s="203"/>
      <c r="I31" s="203"/>
      <c r="J31" s="203"/>
      <c r="K31" s="203"/>
      <c r="L31" s="203"/>
      <c r="M31" s="203"/>
      <c r="N31" s="203"/>
    </row>
    <row r="32" spans="1:14" ht="18.75">
      <c r="A32" s="443" t="s">
        <v>540</v>
      </c>
      <c r="B32" s="434" t="s">
        <v>293</v>
      </c>
      <c r="C32" s="54">
        <v>900</v>
      </c>
      <c r="D32" s="434" t="s">
        <v>244</v>
      </c>
      <c r="E32" s="428"/>
      <c r="F32" s="428"/>
      <c r="G32" s="203"/>
      <c r="H32" s="203"/>
      <c r="I32" s="203"/>
      <c r="J32" s="203"/>
      <c r="K32" s="203"/>
      <c r="L32" s="203"/>
      <c r="M32" s="203"/>
      <c r="N32" s="203"/>
    </row>
    <row r="33" spans="1:9" ht="31.5">
      <c r="A33" s="443" t="s">
        <v>541</v>
      </c>
      <c r="B33" s="438" t="s">
        <v>542</v>
      </c>
      <c r="C33" s="449">
        <v>2.8999999999999998E-3</v>
      </c>
      <c r="D33" s="438" t="s">
        <v>543</v>
      </c>
      <c r="E33" s="443" t="s">
        <v>544</v>
      </c>
      <c r="F33" s="428" t="s">
        <v>369</v>
      </c>
      <c r="G33" s="203"/>
      <c r="H33" s="203"/>
      <c r="I33" s="203"/>
    </row>
    <row r="34" spans="1:9" ht="15.75">
      <c r="A34" s="443"/>
      <c r="B34" s="438"/>
      <c r="C34" s="445"/>
      <c r="D34" s="438"/>
      <c r="E34" s="428"/>
      <c r="F34" s="428"/>
      <c r="G34" s="203"/>
      <c r="H34" s="203"/>
      <c r="I34" s="203"/>
    </row>
    <row r="35" spans="1:9" ht="15.75">
      <c r="A35" s="443"/>
      <c r="B35" s="438"/>
      <c r="C35" s="445"/>
      <c r="D35" s="438"/>
      <c r="E35" s="428"/>
      <c r="F35" s="428"/>
      <c r="G35" s="203"/>
      <c r="H35" s="203"/>
      <c r="I35" s="203"/>
    </row>
    <row r="36" spans="1:9" ht="15.75" thickBot="1">
      <c r="A36" s="203"/>
      <c r="B36" s="203"/>
      <c r="C36" s="203"/>
      <c r="D36" s="203"/>
      <c r="E36" s="203"/>
      <c r="F36" s="203"/>
      <c r="G36" s="203"/>
      <c r="H36" s="203"/>
      <c r="I36" s="203"/>
    </row>
    <row r="37" spans="1:9" ht="16.5" thickBot="1">
      <c r="A37" s="396" t="s">
        <v>248</v>
      </c>
      <c r="B37" s="397"/>
      <c r="C37" s="397"/>
      <c r="D37" s="397"/>
      <c r="E37" s="398"/>
      <c r="F37" s="2"/>
      <c r="G37" s="203"/>
      <c r="H37" s="203"/>
      <c r="I37" s="203"/>
    </row>
    <row r="38" spans="1:9" ht="47.25">
      <c r="A38" s="80" t="s">
        <v>545</v>
      </c>
      <c r="B38" s="88" t="s">
        <v>546</v>
      </c>
      <c r="C38" s="89"/>
      <c r="D38" s="90"/>
      <c r="E38" s="18"/>
      <c r="F38" s="2"/>
      <c r="G38" s="203"/>
      <c r="H38" s="203"/>
      <c r="I38" s="203"/>
    </row>
    <row r="39" spans="1:9" ht="15.75">
      <c r="A39" s="78"/>
      <c r="B39" s="407" t="s">
        <v>547</v>
      </c>
      <c r="C39" s="10" t="s">
        <v>548</v>
      </c>
      <c r="D39" s="407" t="s">
        <v>549</v>
      </c>
      <c r="E39" s="407" t="s">
        <v>550</v>
      </c>
      <c r="F39" s="2"/>
      <c r="G39" s="203"/>
      <c r="H39" s="203"/>
      <c r="I39" s="203"/>
    </row>
    <row r="40" spans="1:9" ht="15.75">
      <c r="A40" s="78"/>
      <c r="B40" s="82">
        <f>C53/$C$56</f>
        <v>4.0023974274311636</v>
      </c>
      <c r="C40" s="82">
        <f>C54/C56</f>
        <v>6.3608620689655169</v>
      </c>
      <c r="D40" s="82">
        <f>C55/C56</f>
        <v>1.3148184090152131</v>
      </c>
      <c r="E40" s="83">
        <f>C56/C56</f>
        <v>1</v>
      </c>
      <c r="F40" s="2"/>
      <c r="G40" s="203"/>
      <c r="H40" s="279"/>
      <c r="I40" s="87"/>
    </row>
    <row r="41" spans="1:9" ht="15.75">
      <c r="A41" s="56"/>
      <c r="B41" s="11">
        <f>B40*51</f>
        <v>204.12226879898935</v>
      </c>
      <c r="C41" s="11">
        <f t="shared" ref="C41:E41" si="1">C40*51</f>
        <v>324.40396551724137</v>
      </c>
      <c r="D41" s="11">
        <f t="shared" si="1"/>
        <v>67.055738859775872</v>
      </c>
      <c r="E41" s="11">
        <f t="shared" si="1"/>
        <v>51</v>
      </c>
      <c r="F41" s="2"/>
      <c r="G41" s="203"/>
      <c r="H41" s="573"/>
      <c r="I41" s="574"/>
    </row>
    <row r="42" spans="1:9" ht="15" customHeight="1">
      <c r="A42" s="64" t="s">
        <v>551</v>
      </c>
      <c r="B42" s="91"/>
      <c r="C42" s="92"/>
      <c r="D42" s="93"/>
      <c r="E42" s="64" t="s">
        <v>552</v>
      </c>
      <c r="F42" s="203"/>
      <c r="G42" s="203"/>
      <c r="H42" s="573"/>
      <c r="I42" s="574"/>
    </row>
    <row r="43" spans="1:9">
      <c r="A43" s="203"/>
      <c r="B43" s="203"/>
      <c r="C43" s="203"/>
      <c r="D43" s="203"/>
      <c r="E43" s="203"/>
      <c r="F43" s="203"/>
      <c r="G43" s="203"/>
      <c r="H43" s="279"/>
      <c r="I43" s="205"/>
    </row>
    <row r="44" spans="1:9" ht="15.75" thickBot="1">
      <c r="A44" s="203"/>
      <c r="B44" s="203"/>
      <c r="C44" s="203"/>
      <c r="D44" s="203"/>
      <c r="E44" s="28"/>
      <c r="F44" s="203"/>
      <c r="G44" s="203"/>
      <c r="H44" s="203"/>
      <c r="I44" s="203"/>
    </row>
    <row r="45" spans="1:9">
      <c r="A45" s="94" t="s">
        <v>252</v>
      </c>
      <c r="B45" s="95"/>
      <c r="C45" s="95"/>
      <c r="D45" s="95"/>
      <c r="E45" s="400"/>
      <c r="F45" s="549"/>
      <c r="G45" s="549"/>
      <c r="H45" s="203"/>
      <c r="I45" s="203"/>
    </row>
    <row r="46" spans="1:9" ht="15" customHeight="1">
      <c r="A46" s="96" t="s">
        <v>204</v>
      </c>
      <c r="B46" s="400" t="s">
        <v>205</v>
      </c>
      <c r="C46" s="97" t="s">
        <v>206</v>
      </c>
      <c r="D46" s="400" t="s">
        <v>207</v>
      </c>
      <c r="E46" s="96" t="s">
        <v>253</v>
      </c>
      <c r="F46" s="587" t="s">
        <v>172</v>
      </c>
      <c r="G46" s="588"/>
      <c r="H46" s="203"/>
      <c r="I46" s="203"/>
    </row>
    <row r="47" spans="1:9" ht="15.75">
      <c r="A47" s="9" t="s">
        <v>553</v>
      </c>
      <c r="B47" s="407" t="s">
        <v>554</v>
      </c>
      <c r="C47" s="403">
        <f>(M14*C21/100)/5</f>
        <v>92.226455357452508</v>
      </c>
      <c r="D47" s="438" t="s">
        <v>555</v>
      </c>
      <c r="E47" s="407"/>
      <c r="F47" s="570"/>
      <c r="G47" s="571"/>
      <c r="H47" s="203"/>
      <c r="I47" s="203"/>
    </row>
    <row r="48" spans="1:9" ht="15.75">
      <c r="A48" s="9" t="s">
        <v>556</v>
      </c>
      <c r="B48" s="407" t="s">
        <v>557</v>
      </c>
      <c r="C48" s="403">
        <f>(C47*C22/100)/5</f>
        <v>6.8413584584158285</v>
      </c>
      <c r="D48" s="438" t="s">
        <v>555</v>
      </c>
      <c r="E48" s="407"/>
      <c r="F48" s="570"/>
      <c r="G48" s="571"/>
      <c r="H48" s="203"/>
      <c r="I48" s="203"/>
    </row>
    <row r="49" spans="1:9" ht="15.75">
      <c r="A49" s="9" t="s">
        <v>558</v>
      </c>
      <c r="B49" s="407"/>
      <c r="C49" s="403">
        <f>($C$48*C23)/100</f>
        <v>3.6758618997068244</v>
      </c>
      <c r="D49" s="438" t="s">
        <v>555</v>
      </c>
      <c r="E49" s="407"/>
      <c r="F49" s="570"/>
      <c r="G49" s="571"/>
      <c r="H49" s="203"/>
      <c r="I49" s="203"/>
    </row>
    <row r="50" spans="1:9" ht="15.75">
      <c r="A50" s="9" t="s">
        <v>559</v>
      </c>
      <c r="B50" s="407"/>
      <c r="C50" s="403">
        <f t="shared" ref="C50:C51" si="2">($C$48*C24)/100</f>
        <v>0.48642058639336538</v>
      </c>
      <c r="D50" s="438" t="s">
        <v>555</v>
      </c>
      <c r="E50" s="407"/>
      <c r="F50" s="570"/>
      <c r="G50" s="571"/>
      <c r="H50" s="203"/>
      <c r="I50" s="203"/>
    </row>
    <row r="51" spans="1:9" ht="15.75">
      <c r="A51" s="9" t="s">
        <v>560</v>
      </c>
      <c r="B51" s="407"/>
      <c r="C51" s="403">
        <f t="shared" si="2"/>
        <v>1.6077192377277196</v>
      </c>
      <c r="D51" s="438" t="s">
        <v>555</v>
      </c>
      <c r="E51" s="407"/>
      <c r="F51" s="570"/>
      <c r="G51" s="571"/>
      <c r="H51" s="203"/>
      <c r="I51" s="203"/>
    </row>
    <row r="52" spans="1:9" ht="27" customHeight="1">
      <c r="A52" s="9" t="s">
        <v>561</v>
      </c>
      <c r="B52" s="204" t="s">
        <v>562</v>
      </c>
      <c r="C52" s="403">
        <f>($C$48*C26)/100</f>
        <v>1.0713567345879187</v>
      </c>
      <c r="D52" s="438" t="s">
        <v>555</v>
      </c>
      <c r="E52" s="407"/>
      <c r="F52" s="570"/>
      <c r="G52" s="571"/>
      <c r="H52" s="203"/>
      <c r="I52" s="203"/>
    </row>
    <row r="53" spans="1:9" ht="48" customHeight="1">
      <c r="A53" s="9" t="s">
        <v>563</v>
      </c>
      <c r="B53" s="407"/>
      <c r="C53" s="403">
        <f>(C49*1000)/C27</f>
        <v>306.06676933445664</v>
      </c>
      <c r="D53" s="407" t="s">
        <v>564</v>
      </c>
      <c r="E53" s="407"/>
      <c r="F53" s="570"/>
      <c r="G53" s="571"/>
      <c r="H53" s="203"/>
      <c r="I53" s="203"/>
    </row>
    <row r="54" spans="1:9" ht="36.75" customHeight="1">
      <c r="A54" s="9" t="s">
        <v>565</v>
      </c>
      <c r="B54" s="407"/>
      <c r="C54" s="403">
        <f>(C50*1000)/C28</f>
        <v>486.4205863933654</v>
      </c>
      <c r="D54" s="407" t="s">
        <v>564</v>
      </c>
      <c r="E54" s="407"/>
      <c r="F54" s="570"/>
      <c r="G54" s="571"/>
      <c r="H54" s="203"/>
      <c r="I54" s="203"/>
    </row>
    <row r="55" spans="1:9" ht="36.75" customHeight="1">
      <c r="A55" s="9" t="s">
        <v>566</v>
      </c>
      <c r="B55" s="407"/>
      <c r="C55" s="403">
        <f>(C51*1000)/C29</f>
        <v>100.54529316621137</v>
      </c>
      <c r="D55" s="407" t="s">
        <v>564</v>
      </c>
      <c r="E55" s="407"/>
      <c r="F55" s="570"/>
      <c r="G55" s="571"/>
      <c r="H55" s="203"/>
      <c r="I55" s="203"/>
    </row>
    <row r="56" spans="1:9" ht="37.5" customHeight="1">
      <c r="A56" s="9" t="s">
        <v>567</v>
      </c>
      <c r="B56" s="407"/>
      <c r="C56" s="403">
        <f>(C52*1000)/C30</f>
        <v>76.470858999851444</v>
      </c>
      <c r="D56" s="407" t="s">
        <v>564</v>
      </c>
      <c r="E56" s="407"/>
      <c r="F56" s="570"/>
      <c r="G56" s="571"/>
      <c r="H56" s="203"/>
      <c r="I56" s="203"/>
    </row>
    <row r="57" spans="1:9" ht="55.5" customHeight="1">
      <c r="A57" s="9" t="s">
        <v>568</v>
      </c>
      <c r="B57" s="407"/>
      <c r="C57" s="403">
        <f>(C48*1000)/(B41*C27+C41*C28+C29*D41+C30*E41)</f>
        <v>1.4994286078402244</v>
      </c>
      <c r="D57" s="407" t="s">
        <v>564</v>
      </c>
      <c r="E57" s="407"/>
      <c r="F57" s="570"/>
      <c r="G57" s="571"/>
      <c r="H57" s="203"/>
      <c r="I57" s="203"/>
    </row>
    <row r="58" spans="1:9" ht="78.75" customHeight="1">
      <c r="A58" s="9" t="s">
        <v>569</v>
      </c>
      <c r="B58" s="407"/>
      <c r="C58" s="403">
        <f>C57</f>
        <v>1.4994286078402244</v>
      </c>
      <c r="D58" s="407" t="s">
        <v>564</v>
      </c>
      <c r="E58" s="407"/>
      <c r="F58" s="589" t="s">
        <v>570</v>
      </c>
      <c r="G58" s="589"/>
      <c r="H58" s="203"/>
      <c r="I58" s="203"/>
    </row>
    <row r="59" spans="1:9" ht="47.25" customHeight="1">
      <c r="A59" s="9" t="s">
        <v>571</v>
      </c>
      <c r="B59" s="427" t="s">
        <v>572</v>
      </c>
      <c r="C59" s="403">
        <f>C31*0.1+C32*0.9</f>
        <v>909.71299999999997</v>
      </c>
      <c r="D59" s="427" t="s">
        <v>244</v>
      </c>
      <c r="E59" s="427" t="s">
        <v>573</v>
      </c>
      <c r="F59" s="589" t="s">
        <v>574</v>
      </c>
      <c r="G59" s="589"/>
      <c r="H59" s="203"/>
      <c r="I59" s="203"/>
    </row>
    <row r="60" spans="1:9" ht="18">
      <c r="A60" s="9" t="s">
        <v>575</v>
      </c>
      <c r="B60" s="407" t="s">
        <v>576</v>
      </c>
      <c r="C60" s="403">
        <f>M5/C59</f>
        <v>0.61675504177121565</v>
      </c>
      <c r="D60" s="427" t="s">
        <v>497</v>
      </c>
      <c r="E60" s="407" t="s">
        <v>577</v>
      </c>
      <c r="F60" s="586"/>
      <c r="G60" s="586"/>
      <c r="H60" s="203"/>
      <c r="I60" s="203"/>
    </row>
    <row r="61" spans="1:9" ht="15.75">
      <c r="A61" s="9" t="s">
        <v>578</v>
      </c>
      <c r="B61" s="407" t="s">
        <v>579</v>
      </c>
      <c r="C61" s="403">
        <f>B41*C27+C28*C41+C29*D41+C30*E41</f>
        <v>4562.64367816092</v>
      </c>
      <c r="D61" s="438" t="s">
        <v>346</v>
      </c>
      <c r="E61" s="407" t="s">
        <v>580</v>
      </c>
      <c r="F61" s="586"/>
      <c r="G61" s="586"/>
      <c r="H61" s="203"/>
      <c r="I61" s="203"/>
    </row>
    <row r="62" spans="1:9" ht="48" customHeight="1">
      <c r="A62" s="9" t="s">
        <v>581</v>
      </c>
      <c r="B62" s="407" t="s">
        <v>582</v>
      </c>
      <c r="C62" s="403">
        <f>C48/(C60*(C61/1000))</f>
        <v>2.431157438995748</v>
      </c>
      <c r="D62" s="427" t="s">
        <v>583</v>
      </c>
      <c r="E62" s="407" t="s">
        <v>584</v>
      </c>
      <c r="F62" s="586"/>
      <c r="G62" s="586"/>
      <c r="H62" s="203"/>
      <c r="I62" s="203"/>
    </row>
    <row r="63" spans="1:9" ht="48" customHeight="1">
      <c r="A63" s="9" t="s">
        <v>585</v>
      </c>
      <c r="B63" s="407" t="s">
        <v>586</v>
      </c>
      <c r="C63" s="403">
        <v>33</v>
      </c>
      <c r="D63" s="427" t="s">
        <v>587</v>
      </c>
      <c r="E63" s="407"/>
      <c r="F63" s="570"/>
      <c r="G63" s="571"/>
      <c r="H63" s="203"/>
      <c r="I63" s="203"/>
    </row>
    <row r="64" spans="1:9" ht="36.75" customHeight="1">
      <c r="A64" s="9" t="s">
        <v>588</v>
      </c>
      <c r="B64" s="407" t="s">
        <v>333</v>
      </c>
      <c r="C64" s="403">
        <f>27/60</f>
        <v>0.45</v>
      </c>
      <c r="D64" s="407" t="s">
        <v>334</v>
      </c>
      <c r="E64" s="407"/>
      <c r="F64" s="586"/>
      <c r="G64" s="586"/>
      <c r="H64" s="203"/>
      <c r="I64" s="203"/>
    </row>
    <row r="65" spans="1:7" ht="30" customHeight="1">
      <c r="A65" s="9" t="s">
        <v>589</v>
      </c>
      <c r="B65" s="407" t="s">
        <v>590</v>
      </c>
      <c r="C65" s="403">
        <f>(0.99*C62/C64)</f>
        <v>5.3485463657906456</v>
      </c>
      <c r="D65" s="427" t="s">
        <v>591</v>
      </c>
      <c r="E65" s="407" t="s">
        <v>592</v>
      </c>
      <c r="F65" s="586"/>
      <c r="G65" s="586"/>
    </row>
    <row r="66" spans="1:7" ht="78.75" customHeight="1">
      <c r="A66" s="9" t="s">
        <v>593</v>
      </c>
      <c r="B66" s="407" t="s">
        <v>594</v>
      </c>
      <c r="C66" s="403">
        <f>C58/C65</f>
        <v>0.28034320080509806</v>
      </c>
      <c r="D66" s="427" t="s">
        <v>595</v>
      </c>
      <c r="E66" s="407" t="s">
        <v>596</v>
      </c>
      <c r="F66" s="589" t="s">
        <v>597</v>
      </c>
      <c r="G66" s="589"/>
    </row>
    <row r="67" spans="1:7" ht="26.25" customHeight="1">
      <c r="A67" s="203"/>
      <c r="B67" s="203"/>
      <c r="C67" s="203"/>
      <c r="D67" s="450" t="s">
        <v>33</v>
      </c>
      <c r="E67" s="203"/>
      <c r="F67" s="203"/>
      <c r="G67" s="203"/>
    </row>
    <row r="68" spans="1:7" ht="59.25" customHeight="1">
      <c r="A68" s="203"/>
      <c r="B68" s="203"/>
      <c r="C68" s="203"/>
      <c r="D68" s="532" t="s">
        <v>598</v>
      </c>
      <c r="E68" s="532"/>
      <c r="F68" s="532"/>
      <c r="G68" s="203"/>
    </row>
    <row r="69" spans="1:7" ht="37.5" customHeight="1">
      <c r="A69" s="203"/>
      <c r="B69" s="203"/>
      <c r="C69" s="203"/>
      <c r="D69" s="532" t="s">
        <v>599</v>
      </c>
      <c r="E69" s="532"/>
      <c r="F69" s="532"/>
      <c r="G69" s="203"/>
    </row>
    <row r="70" spans="1:7" ht="63.75" customHeight="1">
      <c r="A70" s="203"/>
      <c r="B70" s="203"/>
      <c r="C70" s="203"/>
      <c r="D70" s="533" t="s">
        <v>600</v>
      </c>
      <c r="E70" s="533"/>
      <c r="F70" s="533"/>
      <c r="G70" s="203"/>
    </row>
    <row r="71" spans="1:7" ht="15.75">
      <c r="A71" s="86"/>
      <c r="B71" s="406"/>
      <c r="C71" s="402"/>
      <c r="D71" s="585" t="s">
        <v>601</v>
      </c>
      <c r="E71" s="585"/>
      <c r="F71" s="585"/>
      <c r="G71" s="585"/>
    </row>
    <row r="72" spans="1:7" ht="15.75">
      <c r="A72" s="86"/>
      <c r="B72" s="406"/>
      <c r="C72" s="402"/>
      <c r="D72" s="585"/>
      <c r="E72" s="585"/>
      <c r="F72" s="585"/>
      <c r="G72" s="585"/>
    </row>
    <row r="73" spans="1:7" ht="50.25" customHeight="1">
      <c r="A73" s="86"/>
      <c r="B73" s="406"/>
      <c r="C73" s="402"/>
      <c r="D73" s="406"/>
      <c r="E73" s="590" t="s">
        <v>602</v>
      </c>
      <c r="F73" s="585"/>
      <c r="G73" s="585"/>
    </row>
    <row r="74" spans="1:7" ht="15.75">
      <c r="A74" s="86"/>
      <c r="B74" s="406"/>
      <c r="C74" s="402"/>
      <c r="D74" s="406"/>
      <c r="E74" s="406"/>
      <c r="F74" s="585"/>
      <c r="G74" s="585"/>
    </row>
    <row r="75" spans="1:7" ht="15.75">
      <c r="A75" s="86"/>
      <c r="B75" s="406"/>
      <c r="C75" s="402"/>
      <c r="D75" s="406"/>
      <c r="E75" s="406"/>
      <c r="F75" s="585"/>
      <c r="G75" s="585"/>
    </row>
    <row r="76" spans="1:7">
      <c r="A76" s="87"/>
      <c r="B76" s="87"/>
      <c r="C76" s="87"/>
      <c r="D76" s="87"/>
      <c r="E76" s="87"/>
      <c r="F76" s="87"/>
      <c r="G76" s="87"/>
    </row>
  </sheetData>
  <mergeCells count="46">
    <mergeCell ref="E73:G73"/>
    <mergeCell ref="F63:G63"/>
    <mergeCell ref="D68:F68"/>
    <mergeCell ref="D69:F69"/>
    <mergeCell ref="D70:F70"/>
    <mergeCell ref="D71:G72"/>
    <mergeCell ref="F74:G74"/>
    <mergeCell ref="F75:G75"/>
    <mergeCell ref="F60:G61"/>
    <mergeCell ref="F46:G46"/>
    <mergeCell ref="F47:G47"/>
    <mergeCell ref="F48:G48"/>
    <mergeCell ref="F49:G49"/>
    <mergeCell ref="F64:G64"/>
    <mergeCell ref="F65:G65"/>
    <mergeCell ref="F66:G66"/>
    <mergeCell ref="F62:G62"/>
    <mergeCell ref="F57:G57"/>
    <mergeCell ref="F58:G58"/>
    <mergeCell ref="F59:G59"/>
    <mergeCell ref="F52:G52"/>
    <mergeCell ref="F53:G53"/>
    <mergeCell ref="F54:G54"/>
    <mergeCell ref="F55:G55"/>
    <mergeCell ref="F56:G56"/>
    <mergeCell ref="F51:G51"/>
    <mergeCell ref="F45:G45"/>
    <mergeCell ref="H41:H42"/>
    <mergeCell ref="I41:I42"/>
    <mergeCell ref="I3:N3"/>
    <mergeCell ref="I12:N12"/>
    <mergeCell ref="J15:J23"/>
    <mergeCell ref="I15:I23"/>
    <mergeCell ref="K19:K20"/>
    <mergeCell ref="L19:L20"/>
    <mergeCell ref="M19:M20"/>
    <mergeCell ref="N19:N20"/>
    <mergeCell ref="K17:K18"/>
    <mergeCell ref="L17:L18"/>
    <mergeCell ref="M17:M18"/>
    <mergeCell ref="N17:N18"/>
    <mergeCell ref="A1:C13"/>
    <mergeCell ref="E1:G5"/>
    <mergeCell ref="A14:F14"/>
    <mergeCell ref="F50:G50"/>
    <mergeCell ref="E8:E12"/>
  </mergeCells>
  <hyperlinks>
    <hyperlink ref="F21" r:id="rId1" display="https://patents.google.com/patent/US4839193A/en?q=paste&amp;q=almond&amp;oq=paste+almond" xr:uid="{00000000-0004-0000-0900-000000000000}"/>
    <hyperlink ref="F23" r:id="rId2" display="https://play.google.com/books/reader?id=IWhmvts1TjkC&amp;pg=GBS.PA608" xr:uid="{00000000-0004-0000-0900-000001000000}"/>
    <hyperlink ref="F24:F26" r:id="rId3" display="https://play.google.com/books/reader?id=IWhmvts1TjkC&amp;pg=GBS.PA608" xr:uid="{00000000-0004-0000-0900-000002000000}"/>
  </hyperlinks>
  <pageMargins left="0.7" right="0.7" top="0.75" bottom="0.75" header="0.3" footer="0.3"/>
  <pageSetup orientation="portrait" verticalDpi="300" r:id="rId4"/>
  <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2"/>
  <sheetViews>
    <sheetView tabSelected="1" topLeftCell="A27" zoomScale="115" zoomScaleNormal="66" workbookViewId="0">
      <selection activeCell="F34" sqref="A31:F34"/>
    </sheetView>
  </sheetViews>
  <sheetFormatPr baseColWidth="10" defaultColWidth="11.42578125" defaultRowHeight="15"/>
  <cols>
    <col min="1" max="1" width="38" customWidth="1"/>
    <col min="2" max="2" width="13.85546875" customWidth="1"/>
    <col min="3" max="3" width="13.140625" customWidth="1"/>
    <col min="4" max="4" width="25.28515625" customWidth="1"/>
    <col min="5" max="5" width="65.42578125" customWidth="1"/>
    <col min="6" max="6" width="45.7109375" customWidth="1"/>
    <col min="7" max="7" width="11.42578125" customWidth="1"/>
  </cols>
  <sheetData>
    <row r="1" spans="1:7">
      <c r="A1" s="541" t="s">
        <v>75</v>
      </c>
      <c r="B1" s="541"/>
      <c r="C1" s="541"/>
      <c r="D1" s="3"/>
      <c r="E1" s="539" t="s">
        <v>458</v>
      </c>
      <c r="F1" s="540"/>
      <c r="G1" s="540"/>
    </row>
    <row r="2" spans="1:7">
      <c r="A2" s="541"/>
      <c r="B2" s="541"/>
      <c r="C2" s="541"/>
      <c r="D2" s="3"/>
      <c r="E2" s="540"/>
      <c r="F2" s="540"/>
      <c r="G2" s="540"/>
    </row>
    <row r="3" spans="1:7">
      <c r="A3" s="541"/>
      <c r="B3" s="541"/>
      <c r="C3" s="541"/>
      <c r="D3" s="3"/>
      <c r="E3" s="540"/>
      <c r="F3" s="540"/>
      <c r="G3" s="540"/>
    </row>
    <row r="4" spans="1:7">
      <c r="A4" s="541"/>
      <c r="B4" s="541"/>
      <c r="C4" s="541"/>
      <c r="D4" s="3"/>
      <c r="E4" s="540"/>
      <c r="F4" s="540"/>
      <c r="G4" s="540"/>
    </row>
    <row r="5" spans="1:7">
      <c r="A5" s="541"/>
      <c r="B5" s="541"/>
      <c r="C5" s="541"/>
      <c r="D5" s="3"/>
      <c r="E5" s="540"/>
      <c r="F5" s="540"/>
      <c r="G5" s="540"/>
    </row>
    <row r="6" spans="1:7" ht="15.75">
      <c r="A6" s="541"/>
      <c r="B6" s="541"/>
      <c r="C6" s="541"/>
      <c r="D6" s="3"/>
      <c r="E6" s="5"/>
      <c r="F6" s="2"/>
      <c r="G6" s="2"/>
    </row>
    <row r="7" spans="1:7">
      <c r="A7" s="541"/>
      <c r="B7" s="541"/>
      <c r="C7" s="541"/>
      <c r="D7" s="3"/>
      <c r="E7" s="539"/>
      <c r="F7" s="540"/>
      <c r="G7" s="540"/>
    </row>
    <row r="8" spans="1:7">
      <c r="A8" s="541"/>
      <c r="B8" s="541"/>
      <c r="C8" s="541"/>
      <c r="D8" s="3"/>
      <c r="E8" s="540"/>
      <c r="F8" s="540"/>
      <c r="G8" s="540"/>
    </row>
    <row r="9" spans="1:7">
      <c r="A9" s="541"/>
      <c r="B9" s="541"/>
      <c r="C9" s="541"/>
      <c r="D9" s="3"/>
      <c r="E9" s="540"/>
      <c r="F9" s="540"/>
      <c r="G9" s="540"/>
    </row>
    <row r="10" spans="1:7">
      <c r="A10" s="541"/>
      <c r="B10" s="541"/>
      <c r="C10" s="541"/>
      <c r="D10" s="3"/>
      <c r="E10" s="540"/>
      <c r="F10" s="540"/>
      <c r="G10" s="540"/>
    </row>
    <row r="11" spans="1:7">
      <c r="A11" s="541"/>
      <c r="B11" s="541"/>
      <c r="C11" s="541"/>
      <c r="D11" s="3"/>
      <c r="E11" s="540"/>
      <c r="F11" s="540"/>
      <c r="G11" s="540"/>
    </row>
    <row r="12" spans="1:7" ht="15.75">
      <c r="A12" s="541"/>
      <c r="B12" s="541"/>
      <c r="C12" s="541"/>
      <c r="D12" s="3"/>
      <c r="E12" s="5"/>
      <c r="F12" s="2"/>
      <c r="G12" s="2"/>
    </row>
    <row r="13" spans="1:7" ht="16.5" thickBot="1">
      <c r="A13" s="541"/>
      <c r="B13" s="541"/>
      <c r="C13" s="541"/>
      <c r="D13" s="3"/>
      <c r="E13" s="5"/>
      <c r="F13" s="2"/>
      <c r="G13" s="2"/>
    </row>
    <row r="14" spans="1:7" ht="15.75" thickBot="1">
      <c r="A14" s="592" t="s">
        <v>202</v>
      </c>
      <c r="B14" s="593"/>
      <c r="C14" s="593"/>
      <c r="D14" s="593"/>
      <c r="E14" s="593"/>
      <c r="F14" s="594"/>
      <c r="G14" s="99"/>
    </row>
    <row r="15" spans="1:7" ht="15.75" thickBot="1">
      <c r="A15" s="100" t="s">
        <v>204</v>
      </c>
      <c r="B15" s="101" t="s">
        <v>205</v>
      </c>
      <c r="C15" s="102" t="s">
        <v>206</v>
      </c>
      <c r="D15" s="101" t="s">
        <v>207</v>
      </c>
      <c r="E15" s="103" t="s">
        <v>172</v>
      </c>
      <c r="F15" s="100" t="s">
        <v>208</v>
      </c>
      <c r="G15" s="99"/>
    </row>
    <row r="16" spans="1:7">
      <c r="A16" s="104" t="s">
        <v>603</v>
      </c>
      <c r="B16" s="105" t="s">
        <v>167</v>
      </c>
      <c r="C16" s="106">
        <f>'Linea de Queso de Almendra'!B33</f>
        <v>801.8653805283484</v>
      </c>
      <c r="D16" s="105" t="s">
        <v>6</v>
      </c>
      <c r="E16" s="105" t="s">
        <v>94</v>
      </c>
      <c r="F16" s="107"/>
      <c r="G16" s="99"/>
    </row>
    <row r="17" spans="1:7">
      <c r="A17" s="108" t="s">
        <v>604</v>
      </c>
      <c r="B17" s="109" t="s">
        <v>170</v>
      </c>
      <c r="C17" s="110">
        <f>'Linea de Queso de Almendra'!B35</f>
        <v>801.8653805283484</v>
      </c>
      <c r="D17" s="111" t="s">
        <v>6</v>
      </c>
      <c r="E17" s="111" t="s">
        <v>94</v>
      </c>
      <c r="F17" s="112"/>
      <c r="G17" s="113"/>
    </row>
    <row r="18" spans="1:7" ht="18.75">
      <c r="A18" s="108" t="s">
        <v>605</v>
      </c>
      <c r="B18" s="114" t="s">
        <v>606</v>
      </c>
      <c r="C18" s="110">
        <f>'Linea de Queso de Almendra'!B24</f>
        <v>561.07007931481792</v>
      </c>
      <c r="D18" s="111" t="s">
        <v>6</v>
      </c>
      <c r="E18" s="115"/>
      <c r="F18" s="112"/>
      <c r="G18" s="113"/>
    </row>
    <row r="19" spans="1:7" ht="18.75">
      <c r="A19" s="108" t="s">
        <v>607</v>
      </c>
      <c r="B19" s="114" t="s">
        <v>608</v>
      </c>
      <c r="C19" s="116">
        <f>'Linea de Queso de Almendra'!B26</f>
        <v>120.22930271031814</v>
      </c>
      <c r="D19" s="111" t="s">
        <v>6</v>
      </c>
      <c r="E19" s="115"/>
      <c r="F19" s="112"/>
      <c r="G19" s="113"/>
    </row>
    <row r="20" spans="1:7" ht="18.75">
      <c r="A20" s="108" t="s">
        <v>609</v>
      </c>
      <c r="B20" s="114" t="s">
        <v>610</v>
      </c>
      <c r="C20" s="117">
        <f>'Linea de Queso de Almendra'!B25</f>
        <v>120.22930271031814</v>
      </c>
      <c r="D20" s="111" t="s">
        <v>6</v>
      </c>
      <c r="E20" s="115"/>
      <c r="F20" s="112"/>
      <c r="G20" s="113"/>
    </row>
    <row r="21" spans="1:7" ht="18.75">
      <c r="A21" s="108" t="s">
        <v>611</v>
      </c>
      <c r="B21" s="114" t="s">
        <v>612</v>
      </c>
      <c r="C21" s="118">
        <f>'Linea de Queso de Almendra'!B27</f>
        <v>0.33669579289409679</v>
      </c>
      <c r="D21" s="111" t="s">
        <v>6</v>
      </c>
      <c r="E21" s="115"/>
      <c r="F21" s="112"/>
      <c r="G21" s="113"/>
    </row>
    <row r="22" spans="1:7" ht="18.75">
      <c r="A22" s="119" t="s">
        <v>290</v>
      </c>
      <c r="B22" s="120" t="s">
        <v>613</v>
      </c>
      <c r="C22" s="121">
        <v>900</v>
      </c>
      <c r="D22" s="114" t="s">
        <v>614</v>
      </c>
      <c r="E22" s="122"/>
      <c r="F22" s="123"/>
      <c r="G22" s="113"/>
    </row>
    <row r="23" spans="1:7" ht="18.75">
      <c r="A23" s="119" t="s">
        <v>474</v>
      </c>
      <c r="B23" s="114" t="s">
        <v>615</v>
      </c>
      <c r="C23" s="124">
        <v>997.13</v>
      </c>
      <c r="D23" s="114" t="s">
        <v>614</v>
      </c>
      <c r="E23" s="122"/>
      <c r="F23" s="123"/>
      <c r="G23" s="113"/>
    </row>
    <row r="24" spans="1:7" ht="18">
      <c r="A24" s="125" t="s">
        <v>616</v>
      </c>
      <c r="B24" s="98" t="s">
        <v>617</v>
      </c>
      <c r="C24" s="126">
        <v>916</v>
      </c>
      <c r="D24" s="98" t="s">
        <v>618</v>
      </c>
      <c r="E24" s="127"/>
      <c r="F24" s="128"/>
      <c r="G24" s="203"/>
    </row>
    <row r="25" spans="1:7" ht="18">
      <c r="A25" s="125" t="s">
        <v>619</v>
      </c>
      <c r="B25" s="98" t="s">
        <v>620</v>
      </c>
      <c r="C25" s="126">
        <v>1660</v>
      </c>
      <c r="D25" s="98" t="s">
        <v>618</v>
      </c>
      <c r="E25" s="127"/>
      <c r="F25" s="128"/>
      <c r="G25" s="203"/>
    </row>
    <row r="26" spans="1:7">
      <c r="A26" s="125" t="s">
        <v>621</v>
      </c>
      <c r="B26" s="98" t="s">
        <v>326</v>
      </c>
      <c r="C26" s="126">
        <v>5</v>
      </c>
      <c r="D26" s="209" t="s">
        <v>622</v>
      </c>
      <c r="E26" s="127"/>
      <c r="F26" s="128"/>
      <c r="G26" s="203"/>
    </row>
    <row r="27" spans="1:7" ht="21.95" customHeight="1">
      <c r="A27" s="125" t="s">
        <v>623</v>
      </c>
      <c r="B27" s="85" t="s">
        <v>624</v>
      </c>
      <c r="C27" s="129">
        <v>0.8</v>
      </c>
      <c r="D27" s="321" t="s">
        <v>94</v>
      </c>
      <c r="E27" s="127" t="s">
        <v>230</v>
      </c>
      <c r="F27" s="128"/>
      <c r="G27" s="203"/>
    </row>
    <row r="28" spans="1:7" ht="15.75" thickBot="1">
      <c r="A28" s="130" t="s">
        <v>625</v>
      </c>
      <c r="B28" s="131" t="s">
        <v>500</v>
      </c>
      <c r="C28" s="323">
        <f>0.03</f>
        <v>0.03</v>
      </c>
      <c r="D28" s="322" t="s">
        <v>94</v>
      </c>
      <c r="E28" s="132" t="s">
        <v>224</v>
      </c>
      <c r="F28" s="133"/>
      <c r="G28" s="203"/>
    </row>
    <row r="29" spans="1:7" ht="15.75">
      <c r="A29" s="451"/>
      <c r="B29" s="452"/>
      <c r="C29" s="453"/>
      <c r="D29" s="452"/>
      <c r="E29" s="451"/>
      <c r="F29" s="451"/>
      <c r="G29" s="203"/>
    </row>
    <row r="30" spans="1:7" ht="15.75">
      <c r="A30" s="2"/>
      <c r="B30" s="6"/>
      <c r="C30" s="7"/>
      <c r="D30" s="6"/>
      <c r="E30" s="2"/>
      <c r="F30" s="2"/>
      <c r="G30" s="203"/>
    </row>
    <row r="31" spans="1:7" ht="16.5" thickBot="1">
      <c r="A31" s="2"/>
      <c r="B31" s="6"/>
      <c r="C31" s="7"/>
      <c r="D31" s="6"/>
      <c r="E31" s="2"/>
      <c r="F31" s="2"/>
      <c r="G31" s="203"/>
    </row>
    <row r="32" spans="1:7" ht="15.75" thickBot="1">
      <c r="A32" s="536" t="s">
        <v>252</v>
      </c>
      <c r="B32" s="537"/>
      <c r="C32" s="537"/>
      <c r="D32" s="537"/>
      <c r="E32" s="537"/>
      <c r="F32" s="538"/>
      <c r="G32" s="57"/>
    </row>
    <row r="33" spans="1:7">
      <c r="A33" s="39" t="s">
        <v>204</v>
      </c>
      <c r="B33" s="40" t="s">
        <v>205</v>
      </c>
      <c r="C33" s="41" t="s">
        <v>206</v>
      </c>
      <c r="D33" s="40" t="s">
        <v>207</v>
      </c>
      <c r="E33" s="39" t="s">
        <v>253</v>
      </c>
      <c r="F33" s="39" t="s">
        <v>172</v>
      </c>
      <c r="G33" s="57"/>
    </row>
    <row r="34" spans="1:7" s="203" customFormat="1">
      <c r="A34" s="198" t="s">
        <v>625</v>
      </c>
      <c r="B34" s="50" t="s">
        <v>500</v>
      </c>
      <c r="C34" s="347">
        <f>0.03</f>
        <v>0.03</v>
      </c>
      <c r="D34" s="346"/>
      <c r="E34" s="345"/>
      <c r="F34" s="345"/>
      <c r="G34" s="57"/>
    </row>
    <row r="35" spans="1:7" ht="18.75">
      <c r="A35" s="136" t="s">
        <v>626</v>
      </c>
      <c r="B35" s="342" t="s">
        <v>627</v>
      </c>
      <c r="C35" s="343">
        <f>0.9*C22+0.1*C23</f>
        <v>909.71299999999997</v>
      </c>
      <c r="D35" s="342" t="s">
        <v>618</v>
      </c>
      <c r="E35" s="437" t="s">
        <v>628</v>
      </c>
      <c r="F35" s="344" t="s">
        <v>629</v>
      </c>
      <c r="G35" s="144"/>
    </row>
    <row r="36" spans="1:7" ht="18.75">
      <c r="A36" s="136" t="s">
        <v>630</v>
      </c>
      <c r="B36" s="137" t="s">
        <v>631</v>
      </c>
      <c r="C36" s="138">
        <f>((C18/C35)+(C19/C23)+(C20/C24)+(C21/C25))/C26</f>
        <v>0.17375758436407046</v>
      </c>
      <c r="D36" s="427" t="s">
        <v>632</v>
      </c>
      <c r="E36" s="427" t="s">
        <v>633</v>
      </c>
      <c r="F36" s="136"/>
      <c r="G36" s="57"/>
    </row>
    <row r="37" spans="1:7" ht="18">
      <c r="A37" s="135" t="s">
        <v>634</v>
      </c>
      <c r="B37" s="49" t="s">
        <v>635</v>
      </c>
      <c r="C37" s="134">
        <f>(C36/C27)-C36*C28</f>
        <v>0.21198425292416595</v>
      </c>
      <c r="D37" s="427" t="s">
        <v>497</v>
      </c>
      <c r="E37" s="49" t="s">
        <v>636</v>
      </c>
      <c r="F37" s="135" t="s">
        <v>230</v>
      </c>
      <c r="G37" s="57"/>
    </row>
    <row r="38" spans="1:7">
      <c r="A38" s="135" t="s">
        <v>637</v>
      </c>
      <c r="B38" s="49" t="s">
        <v>638</v>
      </c>
      <c r="C38" s="134">
        <f>(2*C37/PI())^(1/3)</f>
        <v>0.5129337093646158</v>
      </c>
      <c r="D38" s="49" t="s">
        <v>228</v>
      </c>
      <c r="E38" s="49" t="s">
        <v>639</v>
      </c>
      <c r="F38" s="135" t="s">
        <v>640</v>
      </c>
      <c r="G38" s="57"/>
    </row>
    <row r="39" spans="1:7">
      <c r="A39" s="135" t="s">
        <v>641</v>
      </c>
      <c r="B39" s="49" t="s">
        <v>268</v>
      </c>
      <c r="C39" s="134">
        <f>2*C38</f>
        <v>1.0258674187292316</v>
      </c>
      <c r="D39" s="49" t="s">
        <v>228</v>
      </c>
      <c r="E39" s="49" t="s">
        <v>642</v>
      </c>
      <c r="F39" s="135"/>
      <c r="G39" s="57"/>
    </row>
    <row r="40" spans="1:7" ht="15.75">
      <c r="A40" s="410"/>
      <c r="B40" s="2"/>
      <c r="C40" s="4"/>
      <c r="D40" s="2"/>
      <c r="E40" s="2"/>
      <c r="F40" s="2"/>
      <c r="G40" s="57"/>
    </row>
    <row r="41" spans="1:7" ht="15.75">
      <c r="A41" s="2"/>
      <c r="B41" s="2"/>
      <c r="C41" s="2"/>
      <c r="D41" s="2"/>
      <c r="E41" s="2"/>
      <c r="F41" s="2"/>
      <c r="G41" s="57"/>
    </row>
    <row r="42" spans="1:7" ht="15.75">
      <c r="A42" s="8" t="s">
        <v>33</v>
      </c>
      <c r="B42" s="2"/>
      <c r="C42" s="2"/>
      <c r="D42" s="2"/>
      <c r="E42" s="2"/>
      <c r="F42" s="2"/>
      <c r="G42" s="57"/>
    </row>
    <row r="43" spans="1:7" ht="15.75">
      <c r="A43" s="591" t="s">
        <v>643</v>
      </c>
      <c r="B43" s="591"/>
      <c r="C43" s="591"/>
      <c r="D43" s="591"/>
      <c r="E43" s="2"/>
      <c r="F43" s="2"/>
      <c r="G43" s="203"/>
    </row>
    <row r="44" spans="1:7" ht="15.75">
      <c r="A44" s="591"/>
      <c r="B44" s="591"/>
      <c r="C44" s="591"/>
      <c r="D44" s="591"/>
      <c r="E44" s="2"/>
      <c r="F44" s="2"/>
      <c r="G44" s="203"/>
    </row>
    <row r="45" spans="1:7" ht="15.75">
      <c r="A45" s="591"/>
      <c r="B45" s="591"/>
      <c r="C45" s="591"/>
      <c r="D45" s="591"/>
      <c r="E45" s="2"/>
      <c r="F45" s="2"/>
      <c r="G45" s="203"/>
    </row>
    <row r="46" spans="1:7" ht="15.75">
      <c r="A46" s="591" t="s">
        <v>644</v>
      </c>
      <c r="B46" s="591"/>
      <c r="C46" s="591"/>
      <c r="D46" s="591"/>
      <c r="E46" s="2"/>
      <c r="F46" s="2"/>
      <c r="G46" s="203"/>
    </row>
    <row r="47" spans="1:7" ht="15.75">
      <c r="A47" s="591"/>
      <c r="B47" s="591"/>
      <c r="C47" s="591"/>
      <c r="D47" s="591"/>
      <c r="E47" s="2"/>
      <c r="F47" s="2"/>
      <c r="G47" s="203"/>
    </row>
    <row r="48" spans="1:7" ht="15.75">
      <c r="A48" s="591"/>
      <c r="B48" s="591"/>
      <c r="C48" s="591"/>
      <c r="D48" s="591"/>
      <c r="E48" s="2"/>
      <c r="F48" s="2"/>
      <c r="G48" s="203"/>
    </row>
    <row r="49" spans="1:7">
      <c r="A49" s="203"/>
      <c r="B49" s="203"/>
      <c r="C49" s="203"/>
      <c r="D49" s="203"/>
      <c r="E49" s="203"/>
      <c r="F49" s="203"/>
      <c r="G49" s="203"/>
    </row>
    <row r="50" spans="1:7">
      <c r="A50" s="203"/>
      <c r="B50" s="203"/>
      <c r="C50" s="203"/>
      <c r="D50" s="203"/>
      <c r="E50" s="203"/>
      <c r="F50" s="203"/>
      <c r="G50" s="203"/>
    </row>
    <row r="51" spans="1:7">
      <c r="A51" s="203"/>
      <c r="B51" s="203"/>
      <c r="C51" s="203"/>
      <c r="D51" s="203"/>
      <c r="E51" s="203"/>
      <c r="F51" s="203"/>
      <c r="G51" s="203"/>
    </row>
    <row r="52" spans="1:7">
      <c r="A52" s="203"/>
      <c r="B52" s="203"/>
      <c r="C52" s="203"/>
      <c r="D52" s="203"/>
      <c r="E52" s="203"/>
      <c r="F52" s="203"/>
      <c r="G52" s="203"/>
    </row>
  </sheetData>
  <mergeCells count="7">
    <mergeCell ref="A43:D45"/>
    <mergeCell ref="A46:D48"/>
    <mergeCell ref="A32:F32"/>
    <mergeCell ref="A1:C13"/>
    <mergeCell ref="E1:G5"/>
    <mergeCell ref="E7:G11"/>
    <mergeCell ref="A14:F1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49"/>
  <sheetViews>
    <sheetView topLeftCell="A14" zoomScale="71" zoomScaleNormal="71" workbookViewId="0">
      <selection activeCell="A41" sqref="A41"/>
    </sheetView>
  </sheetViews>
  <sheetFormatPr baseColWidth="10" defaultColWidth="11.42578125" defaultRowHeight="15"/>
  <cols>
    <col min="1" max="1" width="38" customWidth="1"/>
    <col min="2" max="2" width="13.85546875" customWidth="1"/>
    <col min="3" max="3" width="16.42578125" bestFit="1" customWidth="1"/>
    <col min="4" max="4" width="12.42578125" bestFit="1" customWidth="1"/>
    <col min="5" max="5" width="77.42578125" customWidth="1"/>
    <col min="9" max="9" width="16.85546875" bestFit="1" customWidth="1"/>
    <col min="10" max="10" width="15.85546875" customWidth="1"/>
    <col min="11" max="11" width="11.42578125" customWidth="1"/>
    <col min="14" max="14" width="12.85546875" bestFit="1" customWidth="1"/>
  </cols>
  <sheetData>
    <row r="1" spans="1:21">
      <c r="A1" s="541" t="s">
        <v>75</v>
      </c>
      <c r="B1" s="541"/>
      <c r="C1" s="541"/>
      <c r="D1" s="173"/>
      <c r="E1" s="600" t="s">
        <v>458</v>
      </c>
      <c r="F1" s="601"/>
      <c r="G1" s="602"/>
      <c r="H1" s="172"/>
      <c r="I1" s="595" t="str">
        <f>'Línea de Potabilización de Agua'!A1</f>
        <v>Equipo: Sedimentador</v>
      </c>
      <c r="J1" s="596"/>
      <c r="K1" s="596"/>
      <c r="L1" s="596"/>
      <c r="M1" s="596"/>
      <c r="N1" s="597"/>
      <c r="O1" s="203"/>
      <c r="P1" s="203"/>
      <c r="Q1" s="203"/>
      <c r="R1" s="203"/>
      <c r="S1" s="203"/>
      <c r="T1" s="203"/>
      <c r="U1" s="203"/>
    </row>
    <row r="2" spans="1:21" ht="30">
      <c r="A2" s="541"/>
      <c r="B2" s="541"/>
      <c r="C2" s="541"/>
      <c r="D2" s="174"/>
      <c r="E2" s="603"/>
      <c r="F2" s="604"/>
      <c r="G2" s="605"/>
      <c r="H2" s="172"/>
      <c r="I2" s="271" t="str">
        <f>'Línea de Potabilización de Agua'!A2</f>
        <v xml:space="preserve">Nombre corriente </v>
      </c>
      <c r="J2" s="271" t="str">
        <f>'Línea de Potabilización de Agua'!B2</f>
        <v>Entrada [Kg/semana]</v>
      </c>
      <c r="K2" s="271" t="str">
        <f>'Línea de Potabilización de Agua'!C2</f>
        <v>Especie</v>
      </c>
      <c r="L2" s="271" t="str">
        <f>'Línea de Potabilización de Agua'!D2</f>
        <v>Fracción másica</v>
      </c>
      <c r="M2" s="271" t="str">
        <f>'Línea de Potabilización de Agua'!E2</f>
        <v>Masa en corriente </v>
      </c>
      <c r="N2" s="271" t="str">
        <f>'Línea de Potabilización de Agua'!F2</f>
        <v>Unidad</v>
      </c>
      <c r="O2" s="203"/>
      <c r="P2" s="203"/>
      <c r="Q2" s="203"/>
      <c r="R2" s="203"/>
      <c r="S2" s="203"/>
      <c r="T2" s="203"/>
      <c r="U2" s="203"/>
    </row>
    <row r="3" spans="1:21">
      <c r="A3" s="541"/>
      <c r="B3" s="541"/>
      <c r="C3" s="541"/>
      <c r="D3" s="174"/>
      <c r="E3" s="603"/>
      <c r="F3" s="604"/>
      <c r="G3" s="605"/>
      <c r="H3" s="172"/>
      <c r="I3" s="272" t="str">
        <f>'Línea de Potabilización de Agua'!A3</f>
        <v>F32</v>
      </c>
      <c r="J3" s="272">
        <f>'Línea de Potabilización de Agua'!B3</f>
        <v>16754.068265525257</v>
      </c>
      <c r="K3" s="276" t="str">
        <f>'Línea de Potabilización de Agua'!C3</f>
        <v>Agua Cruda</v>
      </c>
      <c r="L3" s="272">
        <f>'Línea de Potabilización de Agua'!D3</f>
        <v>1</v>
      </c>
      <c r="M3" s="272">
        <f>'Línea de Potabilización de Agua'!E3</f>
        <v>16754.068265525257</v>
      </c>
      <c r="N3" s="272" t="str">
        <f>'Línea de Potabilización de Agua'!F3</f>
        <v>[kg/semana]</v>
      </c>
      <c r="O3" s="203"/>
      <c r="P3" s="203"/>
      <c r="Q3" s="203"/>
      <c r="R3" s="203"/>
      <c r="S3" s="203"/>
      <c r="T3" s="203"/>
      <c r="U3" s="203"/>
    </row>
    <row r="4" spans="1:21" ht="30">
      <c r="A4" s="541"/>
      <c r="B4" s="541"/>
      <c r="C4" s="541"/>
      <c r="D4" s="174"/>
      <c r="E4" s="603"/>
      <c r="F4" s="604"/>
      <c r="G4" s="605"/>
      <c r="H4" s="172"/>
      <c r="I4" s="271" t="str">
        <f>'Línea de Potabilización de Agua'!A4</f>
        <v xml:space="preserve">Nombre corriente </v>
      </c>
      <c r="J4" s="271" t="str">
        <f>'Línea de Potabilización de Agua'!B4</f>
        <v>Entrada [Kg/semana]</v>
      </c>
      <c r="K4" s="271" t="str">
        <f>'Línea de Potabilización de Agua'!C4</f>
        <v>Especie</v>
      </c>
      <c r="L4" s="271" t="str">
        <f>'Línea de Potabilización de Agua'!D4</f>
        <v>Fracción másica</v>
      </c>
      <c r="M4" s="271" t="str">
        <f>'Línea de Potabilización de Agua'!E4</f>
        <v>Masa en corriente </v>
      </c>
      <c r="N4" s="271" t="str">
        <f>'Línea de Potabilización de Agua'!F4</f>
        <v>Unidad</v>
      </c>
      <c r="O4" s="203"/>
      <c r="P4" s="203"/>
      <c r="Q4" s="203"/>
      <c r="R4" s="203"/>
      <c r="S4" s="203"/>
      <c r="T4" s="203"/>
      <c r="U4" s="203"/>
    </row>
    <row r="5" spans="1:21">
      <c r="A5" s="541"/>
      <c r="B5" s="541"/>
      <c r="C5" s="541"/>
      <c r="D5" s="174"/>
      <c r="E5" s="603"/>
      <c r="F5" s="604"/>
      <c r="G5" s="605"/>
      <c r="H5" s="172"/>
      <c r="I5" s="272" t="str">
        <f>'Línea de Potabilización de Agua'!A5</f>
        <v>F33</v>
      </c>
      <c r="J5" s="272">
        <f>'Línea de Potabilización de Agua'!B5</f>
        <v>29.936196403727536</v>
      </c>
      <c r="K5" s="276" t="str">
        <f>'Línea de Potabilización de Agua'!C5</f>
        <v>Lodos</v>
      </c>
      <c r="L5" s="272">
        <f>'Línea de Potabilización de Agua'!D5</f>
        <v>1</v>
      </c>
      <c r="M5" s="272">
        <f>'Línea de Potabilización de Agua'!E5</f>
        <v>29.936196403727536</v>
      </c>
      <c r="N5" s="272" t="str">
        <f>'Línea de Potabilización de Agua'!F5</f>
        <v>[kg/semana]</v>
      </c>
      <c r="O5" s="203"/>
      <c r="P5" s="203"/>
      <c r="Q5" s="203"/>
      <c r="R5" s="203"/>
      <c r="S5" s="203"/>
      <c r="T5" s="203"/>
      <c r="U5" s="203"/>
    </row>
    <row r="6" spans="1:21" ht="30">
      <c r="A6" s="541"/>
      <c r="B6" s="541"/>
      <c r="C6" s="541"/>
      <c r="D6" s="178"/>
      <c r="E6" s="186"/>
      <c r="F6" s="175"/>
      <c r="G6" s="175"/>
      <c r="H6" s="172"/>
      <c r="I6" s="272" t="str">
        <f>'Línea de Potabilización de Agua'!A6</f>
        <v>F34</v>
      </c>
      <c r="J6" s="272">
        <f>'Línea de Potabilización de Agua'!B6</f>
        <v>16724.13206912153</v>
      </c>
      <c r="K6" s="276" t="str">
        <f>'Línea de Potabilización de Agua'!C6</f>
        <v>Agua sin sedimentos</v>
      </c>
      <c r="L6" s="272">
        <f>'Línea de Potabilización de Agua'!D6</f>
        <v>1</v>
      </c>
      <c r="M6" s="272">
        <f>'Línea de Potabilización de Agua'!E6</f>
        <v>16724.13206912153</v>
      </c>
      <c r="N6" s="272" t="str">
        <f>'Línea de Potabilización de Agua'!F6</f>
        <v>[kg/semana]</v>
      </c>
      <c r="O6" s="203"/>
      <c r="P6" s="203"/>
      <c r="Q6" s="203"/>
      <c r="R6" s="203"/>
      <c r="S6" s="203"/>
      <c r="T6" s="203"/>
      <c r="U6" s="203"/>
    </row>
    <row r="7" spans="1:21">
      <c r="A7" s="541"/>
      <c r="B7" s="541"/>
      <c r="C7" s="541"/>
      <c r="D7" s="174"/>
      <c r="E7" s="606"/>
      <c r="F7" s="604"/>
      <c r="G7" s="605"/>
      <c r="H7" s="172"/>
      <c r="I7" s="192"/>
      <c r="J7" s="192"/>
      <c r="K7" s="192"/>
      <c r="L7" s="192"/>
      <c r="M7" s="28"/>
      <c r="N7" s="28"/>
      <c r="O7" s="203"/>
      <c r="P7" s="203"/>
      <c r="Q7" s="203"/>
      <c r="R7" s="203"/>
      <c r="S7" s="203"/>
      <c r="T7" s="203"/>
      <c r="U7" s="203"/>
    </row>
    <row r="8" spans="1:21">
      <c r="A8" s="541"/>
      <c r="B8" s="541"/>
      <c r="C8" s="541"/>
      <c r="D8" s="174"/>
      <c r="E8" s="603"/>
      <c r="F8" s="604"/>
      <c r="G8" s="605"/>
      <c r="H8" s="172"/>
      <c r="I8" s="172"/>
      <c r="J8" s="172"/>
      <c r="K8" s="172"/>
      <c r="L8" s="172"/>
      <c r="M8" s="203"/>
      <c r="N8" s="203"/>
      <c r="O8" s="203"/>
      <c r="P8" s="203"/>
      <c r="Q8" s="203"/>
      <c r="R8" s="203"/>
      <c r="S8" s="203"/>
      <c r="T8" s="203"/>
      <c r="U8" s="203"/>
    </row>
    <row r="9" spans="1:21">
      <c r="A9" s="541"/>
      <c r="B9" s="541"/>
      <c r="C9" s="541"/>
      <c r="D9" s="174"/>
      <c r="E9" s="603"/>
      <c r="F9" s="604"/>
      <c r="G9" s="605"/>
      <c r="H9" s="172"/>
      <c r="I9" s="172"/>
      <c r="J9" s="172"/>
      <c r="K9" s="172"/>
      <c r="L9" s="172"/>
      <c r="M9" s="203"/>
      <c r="N9" s="203"/>
      <c r="O9" s="203"/>
      <c r="P9" s="203"/>
      <c r="Q9" s="203"/>
      <c r="R9" s="203"/>
      <c r="S9" s="203"/>
      <c r="T9" s="203"/>
      <c r="U9" s="203"/>
    </row>
    <row r="10" spans="1:21">
      <c r="A10" s="541"/>
      <c r="B10" s="541"/>
      <c r="C10" s="541"/>
      <c r="D10" s="174"/>
      <c r="E10" s="603"/>
      <c r="F10" s="604"/>
      <c r="G10" s="605"/>
      <c r="H10" s="172"/>
      <c r="I10" s="172"/>
      <c r="J10" s="172"/>
      <c r="K10" s="172"/>
      <c r="L10" s="172"/>
      <c r="M10" s="203"/>
      <c r="N10" s="203"/>
      <c r="O10" s="203"/>
      <c r="P10" s="203"/>
      <c r="Q10" s="203"/>
      <c r="R10" s="203"/>
      <c r="S10" s="203"/>
      <c r="T10" s="203"/>
      <c r="U10" s="203"/>
    </row>
    <row r="11" spans="1:21">
      <c r="A11" s="541"/>
      <c r="B11" s="541"/>
      <c r="C11" s="541"/>
      <c r="D11" s="174"/>
      <c r="E11" s="603"/>
      <c r="F11" s="607"/>
      <c r="G11" s="608"/>
      <c r="H11" s="172"/>
      <c r="I11" s="172"/>
      <c r="J11" s="172"/>
      <c r="K11" s="172"/>
      <c r="L11" s="172"/>
      <c r="M11" s="203"/>
      <c r="N11" s="203"/>
      <c r="O11" s="203"/>
      <c r="P11" s="203"/>
      <c r="Q11" s="203"/>
      <c r="R11" s="203"/>
      <c r="S11" s="203"/>
      <c r="T11" s="203"/>
      <c r="U11" s="203"/>
    </row>
    <row r="12" spans="1:21" ht="15.75">
      <c r="A12" s="541"/>
      <c r="B12" s="541"/>
      <c r="C12" s="541"/>
      <c r="D12" s="178"/>
      <c r="E12" s="183"/>
      <c r="F12" s="176"/>
      <c r="G12" s="176"/>
      <c r="H12" s="172"/>
      <c r="I12" s="172"/>
      <c r="J12" s="172"/>
      <c r="K12" s="172"/>
      <c r="L12" s="172"/>
      <c r="M12" s="203"/>
      <c r="N12" s="203"/>
      <c r="O12" s="203"/>
      <c r="P12" s="203"/>
      <c r="Q12" s="203"/>
      <c r="R12" s="203"/>
      <c r="S12" s="203"/>
      <c r="T12" s="203"/>
      <c r="U12" s="203"/>
    </row>
    <row r="13" spans="1:21" ht="16.5" thickBot="1">
      <c r="A13" s="541"/>
      <c r="B13" s="541"/>
      <c r="C13" s="541"/>
      <c r="D13" s="185"/>
      <c r="E13" s="184"/>
      <c r="F13" s="177"/>
      <c r="G13" s="177"/>
      <c r="H13" s="172"/>
      <c r="I13" s="192"/>
      <c r="J13" s="172"/>
      <c r="K13" s="172"/>
      <c r="L13" s="172"/>
      <c r="M13" s="203"/>
      <c r="N13" s="203"/>
      <c r="O13" s="203"/>
      <c r="P13" s="203"/>
      <c r="Q13" s="203"/>
      <c r="R13" s="203"/>
      <c r="S13" s="203"/>
      <c r="T13" s="203"/>
      <c r="U13" s="203"/>
    </row>
    <row r="14" spans="1:21" ht="16.5" thickBot="1">
      <c r="A14" s="536" t="s">
        <v>202</v>
      </c>
      <c r="B14" s="537"/>
      <c r="C14" s="537"/>
      <c r="D14" s="609"/>
      <c r="E14" s="609"/>
      <c r="F14" s="538"/>
      <c r="G14" s="2"/>
      <c r="H14" s="172"/>
      <c r="I14" s="172"/>
      <c r="J14" s="172"/>
      <c r="K14" s="172"/>
      <c r="L14" s="172"/>
      <c r="M14" s="203"/>
      <c r="N14" s="203"/>
      <c r="O14" s="203"/>
      <c r="P14" s="203" t="s">
        <v>645</v>
      </c>
      <c r="Q14" s="203">
        <v>997.14</v>
      </c>
      <c r="R14" s="203"/>
      <c r="S14" s="203" t="s">
        <v>646</v>
      </c>
      <c r="T14" s="203">
        <f>1/18*Q20*(Q19-Q14)/Q15*Q16^2</f>
        <v>6.8755711111111132E-5</v>
      </c>
      <c r="U14" s="203"/>
    </row>
    <row r="15" spans="1:21" ht="15.75">
      <c r="A15" s="39" t="s">
        <v>204</v>
      </c>
      <c r="B15" s="40" t="s">
        <v>205</v>
      </c>
      <c r="C15" s="41" t="s">
        <v>206</v>
      </c>
      <c r="D15" s="40" t="s">
        <v>207</v>
      </c>
      <c r="E15" s="42" t="s">
        <v>172</v>
      </c>
      <c r="F15" s="39" t="s">
        <v>208</v>
      </c>
      <c r="G15" s="171"/>
      <c r="H15" s="172"/>
      <c r="I15" s="172"/>
      <c r="J15" s="172"/>
      <c r="K15" s="172"/>
      <c r="L15" s="172"/>
      <c r="M15" s="203"/>
      <c r="N15" s="203"/>
      <c r="O15" s="203"/>
      <c r="P15" s="203" t="s">
        <v>647</v>
      </c>
      <c r="Q15" s="203">
        <v>1E-3</v>
      </c>
      <c r="R15" s="203"/>
      <c r="S15" s="203" t="s">
        <v>648</v>
      </c>
      <c r="T15" s="203">
        <f>C36</f>
        <v>0</v>
      </c>
      <c r="U15" s="203" t="s">
        <v>649</v>
      </c>
    </row>
    <row r="16" spans="1:21" ht="15.75">
      <c r="A16" s="428" t="s">
        <v>650</v>
      </c>
      <c r="B16" s="438" t="s">
        <v>188</v>
      </c>
      <c r="C16" s="303">
        <f>M3</f>
        <v>16754.068265525257</v>
      </c>
      <c r="D16" s="10" t="s">
        <v>6</v>
      </c>
      <c r="E16" s="428"/>
      <c r="F16" s="407"/>
      <c r="G16" s="171"/>
      <c r="H16" s="172"/>
      <c r="I16" s="172"/>
      <c r="J16" s="172"/>
      <c r="K16" s="172"/>
      <c r="L16" s="172"/>
      <c r="M16" s="203"/>
      <c r="N16" s="203"/>
      <c r="O16" s="203"/>
      <c r="P16" s="203" t="s">
        <v>651</v>
      </c>
      <c r="Q16" s="203">
        <v>1.0000000000000001E-5</v>
      </c>
      <c r="R16" s="203"/>
      <c r="S16" s="203" t="s">
        <v>652</v>
      </c>
      <c r="T16" s="203">
        <f>T15/T14</f>
        <v>0</v>
      </c>
      <c r="U16" s="203"/>
    </row>
    <row r="17" spans="1:20" s="203" customFormat="1" ht="15.75">
      <c r="A17" s="428" t="s">
        <v>653</v>
      </c>
      <c r="B17" s="438" t="s">
        <v>189</v>
      </c>
      <c r="C17" s="303">
        <f>M5</f>
        <v>29.936196403727536</v>
      </c>
      <c r="D17" s="10" t="s">
        <v>6</v>
      </c>
      <c r="E17" s="428"/>
      <c r="F17" s="407"/>
      <c r="G17" s="171"/>
      <c r="H17" s="172"/>
      <c r="I17" s="172"/>
      <c r="J17" s="172"/>
      <c r="K17" s="172"/>
      <c r="L17" s="172"/>
    </row>
    <row r="18" spans="1:20" s="203" customFormat="1" ht="15.75">
      <c r="A18" s="428" t="s">
        <v>654</v>
      </c>
      <c r="B18" s="438" t="s">
        <v>190</v>
      </c>
      <c r="C18" s="303">
        <f>M6</f>
        <v>16724.13206912153</v>
      </c>
      <c r="D18" s="10" t="s">
        <v>6</v>
      </c>
      <c r="E18" s="428"/>
      <c r="F18" s="407"/>
      <c r="G18" s="171"/>
      <c r="H18" s="172"/>
      <c r="I18" s="172"/>
      <c r="J18" s="172"/>
      <c r="K18" s="172"/>
      <c r="L18" s="172"/>
    </row>
    <row r="19" spans="1:20" ht="15.75">
      <c r="A19" s="454" t="s">
        <v>655</v>
      </c>
      <c r="B19" s="455" t="s">
        <v>656</v>
      </c>
      <c r="C19" s="190">
        <v>1.0000000000000001E-5</v>
      </c>
      <c r="D19" s="456" t="s">
        <v>228</v>
      </c>
      <c r="E19" s="457"/>
      <c r="F19" s="458" t="s">
        <v>224</v>
      </c>
      <c r="G19" s="172"/>
      <c r="H19" s="172"/>
      <c r="I19" s="172"/>
      <c r="J19" s="172"/>
      <c r="K19" s="172"/>
      <c r="L19" s="172"/>
      <c r="M19" s="203"/>
      <c r="N19" s="203"/>
      <c r="O19" s="203"/>
      <c r="P19" s="203" t="s">
        <v>657</v>
      </c>
      <c r="Q19" s="203">
        <v>2260</v>
      </c>
      <c r="R19" s="203"/>
      <c r="S19" s="203" t="s">
        <v>658</v>
      </c>
      <c r="T19" s="203">
        <f>(T16/3.14)^(1/2)</f>
        <v>0</v>
      </c>
    </row>
    <row r="20" spans="1:20" ht="18">
      <c r="A20" s="421" t="s">
        <v>659</v>
      </c>
      <c r="B20" s="147" t="s">
        <v>660</v>
      </c>
      <c r="C20" s="187">
        <v>2260</v>
      </c>
      <c r="D20" s="459" t="s">
        <v>244</v>
      </c>
      <c r="E20" s="428"/>
      <c r="F20" s="460" t="s">
        <v>661</v>
      </c>
      <c r="G20" s="172"/>
      <c r="H20" s="172"/>
      <c r="I20" s="172"/>
      <c r="J20" s="172"/>
      <c r="K20" s="172"/>
      <c r="L20" s="172"/>
      <c r="M20" s="203"/>
      <c r="N20" s="203"/>
      <c r="O20" s="203"/>
      <c r="P20" s="203" t="s">
        <v>662</v>
      </c>
      <c r="Q20" s="203">
        <v>9.8000000000000007</v>
      </c>
      <c r="R20" s="203"/>
      <c r="S20" s="203"/>
      <c r="T20" s="203"/>
    </row>
    <row r="21" spans="1:20" ht="18">
      <c r="A21" s="421" t="s">
        <v>663</v>
      </c>
      <c r="B21" s="147" t="s">
        <v>664</v>
      </c>
      <c r="C21" s="187">
        <v>997.14</v>
      </c>
      <c r="D21" s="459" t="s">
        <v>244</v>
      </c>
      <c r="E21" s="428"/>
      <c r="F21" s="460" t="s">
        <v>102</v>
      </c>
      <c r="G21" s="172"/>
      <c r="H21" s="172"/>
      <c r="I21" s="172"/>
      <c r="J21" s="172"/>
      <c r="K21" s="172"/>
      <c r="L21" s="172"/>
      <c r="M21" s="203"/>
      <c r="N21" s="203"/>
      <c r="O21" s="203"/>
      <c r="P21" s="203"/>
      <c r="Q21" s="203"/>
      <c r="R21" s="203"/>
      <c r="S21" s="203"/>
      <c r="T21" s="203"/>
    </row>
    <row r="22" spans="1:20" ht="15.75">
      <c r="A22" s="421" t="s">
        <v>665</v>
      </c>
      <c r="B22" s="147" t="s">
        <v>666</v>
      </c>
      <c r="C22" s="187">
        <v>1E-3</v>
      </c>
      <c r="D22" s="461" t="s">
        <v>667</v>
      </c>
      <c r="E22" s="428"/>
      <c r="F22" s="460" t="s">
        <v>102</v>
      </c>
      <c r="G22" s="172"/>
      <c r="H22" s="172"/>
      <c r="I22" s="172"/>
      <c r="J22" s="172"/>
      <c r="K22" s="172"/>
      <c r="L22" s="172"/>
      <c r="M22" s="203"/>
      <c r="N22" s="203"/>
      <c r="O22" s="203"/>
      <c r="P22" s="203"/>
      <c r="Q22" s="203"/>
      <c r="R22" s="203"/>
      <c r="S22" s="203"/>
      <c r="T22" s="203"/>
    </row>
    <row r="23" spans="1:20" ht="15.75">
      <c r="A23" s="462" t="s">
        <v>668</v>
      </c>
      <c r="B23" s="188" t="s">
        <v>669</v>
      </c>
      <c r="C23" s="189">
        <v>1444</v>
      </c>
      <c r="D23" s="187" t="s">
        <v>670</v>
      </c>
      <c r="E23" s="64"/>
      <c r="F23" s="460" t="s">
        <v>230</v>
      </c>
      <c r="G23" s="172"/>
      <c r="H23" s="172"/>
      <c r="I23" s="172"/>
      <c r="J23" s="172"/>
      <c r="K23" s="172"/>
      <c r="L23" s="172"/>
      <c r="M23" s="203"/>
      <c r="N23" s="203"/>
      <c r="O23" s="203"/>
      <c r="P23" s="203"/>
      <c r="Q23" s="203"/>
      <c r="R23" s="203"/>
      <c r="S23" s="203"/>
      <c r="T23" s="203"/>
    </row>
    <row r="24" spans="1:20" ht="16.5" thickBot="1">
      <c r="A24" s="191" t="s">
        <v>671</v>
      </c>
      <c r="B24" s="207" t="s">
        <v>672</v>
      </c>
      <c r="C24" s="207">
        <v>9.8000000000000007</v>
      </c>
      <c r="D24" s="207" t="s">
        <v>673</v>
      </c>
      <c r="E24" s="170"/>
      <c r="F24" s="463" t="s">
        <v>107</v>
      </c>
      <c r="G24" s="172"/>
      <c r="H24" s="172"/>
      <c r="I24" s="172"/>
      <c r="J24" s="172"/>
      <c r="K24" s="172"/>
      <c r="L24" s="172"/>
      <c r="M24" s="203"/>
      <c r="N24" s="203"/>
      <c r="O24" s="203"/>
      <c r="P24" s="203"/>
      <c r="Q24" s="203"/>
      <c r="R24" s="203"/>
      <c r="S24" s="203"/>
      <c r="T24" s="203"/>
    </row>
    <row r="25" spans="1:20" ht="16.5" thickBot="1">
      <c r="A25" s="171"/>
      <c r="B25" s="179"/>
      <c r="C25" s="180"/>
      <c r="D25" s="179"/>
      <c r="E25" s="171"/>
      <c r="F25" s="171"/>
      <c r="G25" s="172"/>
      <c r="H25" s="172"/>
      <c r="I25" s="172"/>
      <c r="J25" s="172"/>
      <c r="K25" s="172"/>
      <c r="L25" s="172"/>
      <c r="M25" s="203"/>
      <c r="N25" s="203"/>
      <c r="O25" s="203"/>
      <c r="P25" s="203"/>
      <c r="Q25" s="203"/>
      <c r="R25" s="203"/>
      <c r="S25" s="203"/>
      <c r="T25" s="203"/>
    </row>
    <row r="26" spans="1:20" ht="16.5" thickBot="1">
      <c r="A26" s="536" t="s">
        <v>172</v>
      </c>
      <c r="B26" s="537"/>
      <c r="C26" s="537"/>
      <c r="D26" s="537"/>
      <c r="E26" s="538"/>
      <c r="F26" s="171"/>
      <c r="G26" s="172"/>
      <c r="H26" s="172"/>
      <c r="I26" s="172"/>
      <c r="J26" s="172"/>
      <c r="K26" s="172"/>
      <c r="L26" s="172"/>
      <c r="M26" s="203"/>
      <c r="N26" s="203"/>
      <c r="O26" s="203"/>
      <c r="P26" s="203"/>
      <c r="Q26" s="203"/>
      <c r="R26" s="203"/>
      <c r="S26" s="203"/>
      <c r="T26" s="203"/>
    </row>
    <row r="27" spans="1:20" ht="32.1" customHeight="1">
      <c r="A27" s="610" t="s">
        <v>674</v>
      </c>
      <c r="B27" s="611"/>
      <c r="C27" s="611"/>
      <c r="D27" s="611"/>
      <c r="E27" s="612"/>
      <c r="F27" s="171"/>
      <c r="G27" s="172"/>
      <c r="H27" s="172"/>
      <c r="I27" s="172"/>
      <c r="J27" s="172"/>
      <c r="K27" s="172"/>
      <c r="L27" s="172"/>
      <c r="M27" s="203"/>
      <c r="N27" s="203"/>
      <c r="O27" s="203"/>
      <c r="P27" s="203"/>
      <c r="Q27" s="203"/>
      <c r="R27" s="203"/>
      <c r="S27" s="203"/>
      <c r="T27" s="203"/>
    </row>
    <row r="28" spans="1:20" ht="15.75">
      <c r="A28" s="613" t="s">
        <v>675</v>
      </c>
      <c r="B28" s="614"/>
      <c r="C28" s="614"/>
      <c r="D28" s="614"/>
      <c r="E28" s="615"/>
      <c r="F28" s="171"/>
      <c r="G28" s="172"/>
      <c r="H28" s="203"/>
      <c r="I28" s="172"/>
      <c r="J28" s="172"/>
      <c r="K28" s="172"/>
      <c r="L28" s="172"/>
      <c r="M28" s="203"/>
      <c r="N28" s="203"/>
      <c r="O28" s="203"/>
      <c r="P28" s="203"/>
      <c r="Q28" s="203"/>
      <c r="R28" s="203"/>
      <c r="S28" s="203"/>
      <c r="T28" s="203"/>
    </row>
    <row r="29" spans="1:20" ht="16.5" thickBot="1">
      <c r="A29" s="616" t="s">
        <v>676</v>
      </c>
      <c r="B29" s="617"/>
      <c r="C29" s="617"/>
      <c r="D29" s="617"/>
      <c r="E29" s="618"/>
      <c r="F29" s="171"/>
      <c r="G29" s="172"/>
      <c r="H29" s="172"/>
      <c r="I29" s="172"/>
      <c r="J29" s="172"/>
      <c r="K29" s="172"/>
      <c r="L29" s="172"/>
      <c r="M29" s="203"/>
      <c r="N29" s="203"/>
      <c r="O29" s="203"/>
      <c r="P29" s="203"/>
      <c r="Q29" s="203"/>
      <c r="R29" s="203"/>
      <c r="S29" s="203"/>
      <c r="T29" s="203"/>
    </row>
    <row r="30" spans="1:20" ht="16.5" thickBot="1">
      <c r="A30" s="171"/>
      <c r="B30" s="179"/>
      <c r="C30" s="180"/>
      <c r="D30" s="179"/>
      <c r="E30" s="171"/>
      <c r="F30" s="171"/>
      <c r="G30" s="172"/>
      <c r="H30" s="172"/>
      <c r="I30" s="172"/>
      <c r="J30" s="172"/>
      <c r="K30" s="172"/>
      <c r="L30" s="172"/>
      <c r="M30" s="203"/>
      <c r="N30" s="203"/>
      <c r="O30" s="203"/>
      <c r="P30" s="203"/>
      <c r="Q30" s="203"/>
      <c r="R30" s="203"/>
      <c r="S30" s="203"/>
      <c r="T30" s="203"/>
    </row>
    <row r="31" spans="1:20" ht="15.75" thickBot="1">
      <c r="A31" s="536" t="s">
        <v>252</v>
      </c>
      <c r="B31" s="537"/>
      <c r="C31" s="537"/>
      <c r="D31" s="537"/>
      <c r="E31" s="537"/>
      <c r="F31" s="538"/>
      <c r="G31" s="172"/>
      <c r="H31" s="172"/>
      <c r="I31" s="172"/>
      <c r="J31" s="172"/>
      <c r="K31" s="172"/>
      <c r="L31" s="172"/>
      <c r="M31" s="203"/>
      <c r="N31" s="203"/>
      <c r="O31" s="203"/>
      <c r="P31" s="203"/>
      <c r="Q31" s="203"/>
      <c r="R31" s="203"/>
      <c r="S31" s="203"/>
      <c r="T31" s="203"/>
    </row>
    <row r="32" spans="1:20">
      <c r="A32" s="39" t="s">
        <v>204</v>
      </c>
      <c r="B32" s="40" t="s">
        <v>205</v>
      </c>
      <c r="C32" s="41" t="s">
        <v>206</v>
      </c>
      <c r="D32" s="40" t="s">
        <v>207</v>
      </c>
      <c r="E32" s="39" t="s">
        <v>253</v>
      </c>
      <c r="F32" s="39" t="s">
        <v>172</v>
      </c>
      <c r="G32" s="172"/>
      <c r="H32" s="172"/>
      <c r="I32" s="172"/>
      <c r="J32" s="172"/>
      <c r="K32" s="172"/>
      <c r="L32" s="172"/>
      <c r="M32" s="203"/>
      <c r="N32" s="203"/>
      <c r="O32" s="203"/>
      <c r="P32" s="203"/>
      <c r="Q32" s="203"/>
      <c r="R32" s="203"/>
      <c r="S32" s="203"/>
      <c r="T32" s="203"/>
    </row>
    <row r="33" spans="1:20" s="309" customFormat="1">
      <c r="A33" s="307" t="s">
        <v>677</v>
      </c>
      <c r="B33" s="308" t="s">
        <v>255</v>
      </c>
      <c r="C33" s="310">
        <f>C16/(36000*997.13)</f>
        <v>4.667303011176871E-4</v>
      </c>
      <c r="D33" s="308" t="s">
        <v>256</v>
      </c>
      <c r="E33" s="307"/>
      <c r="F33" s="307"/>
    </row>
    <row r="34" spans="1:20" ht="15.75">
      <c r="A34" s="74" t="s">
        <v>678</v>
      </c>
      <c r="B34" s="75" t="s">
        <v>679</v>
      </c>
      <c r="C34" s="311">
        <f>(1/18)*Q20*((C20-C21)/C22)*C19^2</f>
        <v>6.8755711111111132E-5</v>
      </c>
      <c r="D34" s="76" t="s">
        <v>673</v>
      </c>
      <c r="E34" s="77"/>
      <c r="F34" s="74"/>
      <c r="G34" s="172"/>
      <c r="H34" s="172"/>
      <c r="I34" s="172"/>
      <c r="J34" s="172"/>
      <c r="K34" s="172"/>
      <c r="L34" s="172"/>
      <c r="M34" s="203"/>
      <c r="N34" s="203"/>
      <c r="O34" s="203"/>
      <c r="P34" s="203"/>
      <c r="Q34" s="203"/>
      <c r="R34" s="203"/>
      <c r="S34" s="203"/>
      <c r="T34" s="203"/>
    </row>
    <row r="35" spans="1:20" ht="18.75" thickBot="1">
      <c r="A35" s="78" t="s">
        <v>680</v>
      </c>
      <c r="B35" s="408" t="s">
        <v>436</v>
      </c>
      <c r="C35" s="304">
        <f>C33/C34</f>
        <v>6.788240475957525</v>
      </c>
      <c r="D35" s="79" t="s">
        <v>681</v>
      </c>
      <c r="E35" s="78"/>
      <c r="F35" s="78"/>
      <c r="G35" s="172"/>
      <c r="H35" s="172"/>
      <c r="I35" s="172"/>
      <c r="J35" s="172"/>
      <c r="K35" s="172"/>
      <c r="L35" s="172"/>
      <c r="M35" s="203"/>
      <c r="N35" s="203"/>
      <c r="O35" s="203"/>
      <c r="P35" s="203"/>
      <c r="Q35" s="203"/>
      <c r="R35" s="203"/>
      <c r="S35" s="203"/>
      <c r="T35" s="203"/>
    </row>
    <row r="36" spans="1:20" ht="15.75">
      <c r="A36" s="14"/>
      <c r="B36" s="15"/>
      <c r="C36" s="303"/>
      <c r="D36" s="16"/>
      <c r="E36" s="78"/>
      <c r="F36" s="78"/>
      <c r="G36" s="172"/>
      <c r="H36" s="172"/>
      <c r="I36" s="172"/>
      <c r="J36" s="172"/>
      <c r="K36" s="172"/>
      <c r="L36" s="172"/>
      <c r="M36" s="203"/>
      <c r="N36" s="203"/>
      <c r="O36" s="203"/>
      <c r="P36" s="203"/>
      <c r="Q36" s="203"/>
      <c r="R36" s="203"/>
      <c r="S36" s="203"/>
      <c r="T36" s="203"/>
    </row>
    <row r="37" spans="1:20" ht="15.75">
      <c r="A37" s="421"/>
      <c r="B37" s="407"/>
      <c r="C37" s="303"/>
      <c r="D37" s="10"/>
      <c r="E37" s="78"/>
      <c r="F37" s="78"/>
      <c r="G37" s="172"/>
      <c r="H37" s="172"/>
      <c r="I37" s="203"/>
      <c r="J37" s="203"/>
      <c r="K37" s="203"/>
      <c r="L37" s="203"/>
      <c r="M37" s="203"/>
      <c r="N37" s="203"/>
      <c r="O37" s="203"/>
      <c r="P37" s="203"/>
      <c r="Q37" s="203"/>
      <c r="R37" s="203"/>
      <c r="S37" s="203"/>
      <c r="T37" s="203"/>
    </row>
    <row r="38" spans="1:20" ht="15.75">
      <c r="A38" s="78"/>
      <c r="B38" s="408"/>
      <c r="C38" s="304"/>
      <c r="D38" s="408"/>
      <c r="E38" s="78"/>
      <c r="F38" s="78"/>
      <c r="G38" s="172"/>
      <c r="H38" s="172"/>
      <c r="I38" s="203"/>
      <c r="J38" s="203"/>
      <c r="K38" s="203"/>
      <c r="L38" s="203"/>
      <c r="M38" s="203"/>
      <c r="N38" s="203"/>
      <c r="O38" s="203"/>
      <c r="P38" s="203"/>
      <c r="Q38" s="203"/>
      <c r="R38" s="203"/>
      <c r="S38" s="203"/>
      <c r="T38" s="203"/>
    </row>
    <row r="39" spans="1:20" ht="15.75">
      <c r="A39" s="78"/>
      <c r="B39" s="408"/>
      <c r="C39" s="304"/>
      <c r="D39" s="408"/>
      <c r="E39" s="78"/>
      <c r="F39" s="78"/>
      <c r="G39" s="172"/>
      <c r="H39" s="172"/>
      <c r="I39" s="203"/>
      <c r="J39" s="203"/>
      <c r="K39" s="203"/>
      <c r="L39" s="203"/>
      <c r="M39" s="203"/>
      <c r="N39" s="203"/>
      <c r="O39" s="203"/>
      <c r="P39" s="203"/>
      <c r="Q39" s="203"/>
      <c r="R39" s="203"/>
      <c r="S39" s="203"/>
      <c r="T39" s="203"/>
    </row>
    <row r="40" spans="1:20" ht="15.75">
      <c r="A40" s="78"/>
      <c r="B40" s="408"/>
      <c r="C40" s="304"/>
      <c r="D40" s="408"/>
      <c r="E40" s="78"/>
      <c r="F40" s="78"/>
      <c r="G40" s="172"/>
      <c r="H40" s="172"/>
      <c r="I40" s="203"/>
      <c r="J40" s="203"/>
      <c r="K40" s="203"/>
      <c r="L40" s="203"/>
      <c r="M40" s="203"/>
      <c r="N40" s="203"/>
      <c r="O40" s="203"/>
      <c r="P40" s="203"/>
      <c r="Q40" s="203"/>
      <c r="R40" s="203"/>
      <c r="S40" s="203"/>
      <c r="T40" s="203"/>
    </row>
    <row r="41" spans="1:20" ht="15.75">
      <c r="A41" s="181"/>
      <c r="B41" s="171"/>
      <c r="C41" s="182"/>
      <c r="D41" s="171"/>
      <c r="E41" s="171"/>
      <c r="F41" s="171"/>
      <c r="G41" s="172"/>
      <c r="H41" s="172"/>
      <c r="I41" s="203"/>
      <c r="J41" s="203"/>
      <c r="K41" s="203"/>
      <c r="L41" s="203"/>
      <c r="M41" s="203"/>
      <c r="N41" s="203"/>
      <c r="O41" s="203"/>
      <c r="P41" s="203"/>
      <c r="Q41" s="203"/>
      <c r="R41" s="203"/>
      <c r="S41" s="203"/>
      <c r="T41" s="203"/>
    </row>
    <row r="42" spans="1:20" ht="15.75">
      <c r="A42" s="171"/>
      <c r="B42" s="171"/>
      <c r="C42" s="171"/>
      <c r="D42" s="171"/>
      <c r="E42" s="171"/>
      <c r="F42" s="171"/>
      <c r="G42" s="172"/>
      <c r="H42" s="172"/>
      <c r="I42" s="203"/>
      <c r="J42" s="203"/>
      <c r="K42" s="203"/>
      <c r="L42" s="203"/>
      <c r="M42" s="203"/>
      <c r="N42" s="203"/>
      <c r="O42" s="203"/>
      <c r="P42" s="203"/>
      <c r="Q42" s="203"/>
      <c r="R42" s="203"/>
      <c r="S42" s="203"/>
      <c r="T42" s="203"/>
    </row>
    <row r="43" spans="1:20" ht="15.75" hidden="1">
      <c r="A43" s="8" t="s">
        <v>33</v>
      </c>
      <c r="B43" s="2"/>
      <c r="C43" s="2"/>
      <c r="D43" s="2"/>
      <c r="E43" s="2"/>
      <c r="F43" s="2"/>
      <c r="G43" s="203"/>
      <c r="H43" s="203"/>
      <c r="I43" s="203"/>
      <c r="J43" s="203"/>
      <c r="K43" s="203"/>
      <c r="L43" s="203"/>
      <c r="M43" s="203"/>
      <c r="N43" s="203"/>
      <c r="O43" s="203"/>
      <c r="P43" s="203"/>
      <c r="Q43" s="203"/>
      <c r="R43" s="203"/>
      <c r="S43" s="203"/>
      <c r="T43" s="203"/>
    </row>
    <row r="44" spans="1:20" ht="15.75" customHeight="1">
      <c r="A44" s="598" t="s">
        <v>682</v>
      </c>
      <c r="B44" s="599"/>
      <c r="C44" s="599"/>
      <c r="D44" s="599"/>
      <c r="E44" s="599"/>
      <c r="F44" s="599"/>
      <c r="G44" s="203"/>
      <c r="H44" s="203"/>
      <c r="I44" s="203"/>
      <c r="J44" s="203"/>
      <c r="K44" s="203"/>
      <c r="L44" s="203"/>
      <c r="M44" s="203"/>
      <c r="N44" s="203"/>
      <c r="O44" s="203"/>
      <c r="P44" s="203"/>
      <c r="Q44" s="203"/>
      <c r="R44" s="203"/>
      <c r="S44" s="203"/>
      <c r="T44" s="203"/>
    </row>
    <row r="45" spans="1:20" ht="15.75" customHeight="1">
      <c r="A45" s="599"/>
      <c r="B45" s="599"/>
      <c r="C45" s="599"/>
      <c r="D45" s="599"/>
      <c r="E45" s="599"/>
      <c r="F45" s="599"/>
      <c r="G45" s="203"/>
      <c r="H45" s="203"/>
      <c r="I45" s="203"/>
      <c r="J45" s="203"/>
      <c r="K45" s="203"/>
      <c r="L45" s="203"/>
      <c r="M45" s="203"/>
      <c r="N45" s="203"/>
      <c r="O45" s="203"/>
      <c r="P45" s="203"/>
      <c r="Q45" s="203"/>
      <c r="R45" s="203"/>
      <c r="S45" s="203"/>
      <c r="T45" s="203"/>
    </row>
    <row r="46" spans="1:20" ht="15.75" customHeight="1">
      <c r="A46" s="599"/>
      <c r="B46" s="599"/>
      <c r="C46" s="599"/>
      <c r="D46" s="599"/>
      <c r="E46" s="599"/>
      <c r="F46" s="599"/>
      <c r="G46" s="203"/>
      <c r="H46" s="203"/>
      <c r="I46" s="203"/>
      <c r="J46" s="203"/>
      <c r="K46" s="203"/>
      <c r="L46" s="203"/>
      <c r="M46" s="203"/>
      <c r="N46" s="203"/>
      <c r="O46" s="203"/>
      <c r="P46" s="203"/>
      <c r="Q46" s="203"/>
      <c r="R46" s="203"/>
      <c r="S46" s="203"/>
      <c r="T46" s="203"/>
    </row>
    <row r="47" spans="1:20" ht="15.75" customHeight="1">
      <c r="A47" s="599"/>
      <c r="B47" s="599"/>
      <c r="C47" s="599"/>
      <c r="D47" s="599"/>
      <c r="E47" s="599"/>
      <c r="F47" s="599"/>
      <c r="G47" s="203"/>
      <c r="H47" s="203"/>
      <c r="I47" s="203"/>
      <c r="J47" s="203"/>
      <c r="K47" s="203"/>
      <c r="L47" s="203"/>
      <c r="M47" s="203"/>
      <c r="N47" s="203"/>
      <c r="O47" s="203"/>
      <c r="P47" s="203"/>
      <c r="Q47" s="203"/>
      <c r="R47" s="203"/>
      <c r="S47" s="203"/>
      <c r="T47" s="203"/>
    </row>
    <row r="48" spans="1:20" ht="15.75" customHeight="1">
      <c r="A48" s="599"/>
      <c r="B48" s="599"/>
      <c r="C48" s="599"/>
      <c r="D48" s="599"/>
      <c r="E48" s="599"/>
      <c r="F48" s="599"/>
      <c r="G48" s="203"/>
      <c r="H48" s="203"/>
      <c r="I48" s="203"/>
      <c r="J48" s="203"/>
      <c r="K48" s="203"/>
      <c r="L48" s="203"/>
      <c r="M48" s="203"/>
      <c r="N48" s="203"/>
      <c r="O48" s="203"/>
      <c r="P48" s="203"/>
      <c r="Q48" s="203"/>
      <c r="R48" s="203"/>
      <c r="S48" s="203"/>
      <c r="T48" s="203"/>
    </row>
    <row r="49" spans="1:8" ht="47.25" customHeight="1">
      <c r="A49" s="599"/>
      <c r="B49" s="599"/>
      <c r="C49" s="599"/>
      <c r="D49" s="599"/>
      <c r="E49" s="599"/>
      <c r="F49" s="599"/>
      <c r="G49" s="203"/>
      <c r="H49" s="203"/>
    </row>
  </sheetData>
  <mergeCells count="11">
    <mergeCell ref="I1:N1"/>
    <mergeCell ref="A44:F49"/>
    <mergeCell ref="A31:F31"/>
    <mergeCell ref="A1:C13"/>
    <mergeCell ref="E1:G5"/>
    <mergeCell ref="E7:G11"/>
    <mergeCell ref="A14:F14"/>
    <mergeCell ref="A26:E26"/>
    <mergeCell ref="A27:E27"/>
    <mergeCell ref="A28:E28"/>
    <mergeCell ref="A29:E29"/>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47"/>
  <sheetViews>
    <sheetView topLeftCell="A24" zoomScale="80" zoomScaleNormal="80" workbookViewId="0">
      <selection activeCell="C34" sqref="C34"/>
    </sheetView>
  </sheetViews>
  <sheetFormatPr baseColWidth="10" defaultColWidth="11.42578125" defaultRowHeight="15"/>
  <cols>
    <col min="1" max="1" width="64.42578125" bestFit="1" customWidth="1"/>
    <col min="2" max="2" width="13.85546875" customWidth="1"/>
    <col min="3" max="3" width="18.28515625" bestFit="1" customWidth="1"/>
    <col min="4" max="4" width="13.140625" bestFit="1" customWidth="1"/>
    <col min="5" max="5" width="77.42578125" customWidth="1"/>
    <col min="9" max="9" width="21.42578125" bestFit="1" customWidth="1"/>
    <col min="11" max="11" width="16.42578125" customWidth="1"/>
    <col min="14" max="14" width="13.140625" bestFit="1" customWidth="1"/>
  </cols>
  <sheetData>
    <row r="1" spans="1:13">
      <c r="A1" s="541" t="s">
        <v>75</v>
      </c>
      <c r="B1" s="541"/>
      <c r="C1" s="541"/>
      <c r="D1" s="3"/>
      <c r="E1" s="539" t="s">
        <v>458</v>
      </c>
      <c r="F1" s="540"/>
      <c r="G1" s="540"/>
      <c r="H1" s="203"/>
      <c r="I1" s="203"/>
      <c r="J1" s="203"/>
      <c r="K1" s="203"/>
      <c r="L1" s="203"/>
      <c r="M1" s="203"/>
    </row>
    <row r="2" spans="1:13">
      <c r="A2" s="541"/>
      <c r="B2" s="541"/>
      <c r="C2" s="541"/>
      <c r="D2" s="3"/>
      <c r="E2" s="540"/>
      <c r="F2" s="540"/>
      <c r="G2" s="540"/>
      <c r="H2" s="203"/>
      <c r="I2" s="203"/>
      <c r="J2" s="203"/>
      <c r="K2" s="203"/>
      <c r="L2" s="203"/>
      <c r="M2" s="203"/>
    </row>
    <row r="3" spans="1:13">
      <c r="A3" s="541"/>
      <c r="B3" s="541"/>
      <c r="C3" s="541"/>
      <c r="D3" s="3"/>
      <c r="E3" s="540"/>
      <c r="F3" s="540"/>
      <c r="G3" s="540"/>
      <c r="H3" s="203"/>
      <c r="I3" s="203"/>
      <c r="J3" s="203"/>
      <c r="K3" s="203"/>
      <c r="L3" s="203"/>
      <c r="M3" s="203"/>
    </row>
    <row r="4" spans="1:13">
      <c r="A4" s="541"/>
      <c r="B4" s="541"/>
      <c r="C4" s="541"/>
      <c r="D4" s="3"/>
      <c r="E4" s="540"/>
      <c r="F4" s="540"/>
      <c r="G4" s="540"/>
      <c r="H4" s="203"/>
      <c r="I4" s="203"/>
      <c r="J4" s="203"/>
      <c r="K4" s="203"/>
      <c r="L4" s="203"/>
      <c r="M4" s="203"/>
    </row>
    <row r="5" spans="1:13">
      <c r="A5" s="541"/>
      <c r="B5" s="541"/>
      <c r="C5" s="541"/>
      <c r="D5" s="3"/>
      <c r="E5" s="540"/>
      <c r="F5" s="540"/>
      <c r="G5" s="540"/>
      <c r="H5" s="203"/>
      <c r="I5" s="203"/>
      <c r="J5" s="203"/>
      <c r="K5" s="203"/>
      <c r="L5" s="203"/>
      <c r="M5" s="203"/>
    </row>
    <row r="6" spans="1:13" ht="15.75">
      <c r="A6" s="541"/>
      <c r="B6" s="541"/>
      <c r="C6" s="541"/>
      <c r="D6" s="3"/>
      <c r="E6" s="5"/>
      <c r="F6" s="2"/>
      <c r="G6" s="2"/>
      <c r="H6" s="203"/>
      <c r="I6" s="203" t="s">
        <v>683</v>
      </c>
      <c r="J6" s="203" t="s">
        <v>684</v>
      </c>
      <c r="K6" s="203"/>
      <c r="L6" s="203"/>
      <c r="M6" s="203"/>
    </row>
    <row r="7" spans="1:13">
      <c r="A7" s="541"/>
      <c r="B7" s="541"/>
      <c r="C7" s="541"/>
      <c r="D7" s="3"/>
      <c r="E7" s="539" t="s">
        <v>685</v>
      </c>
      <c r="F7" s="540"/>
      <c r="G7" s="540"/>
      <c r="H7" s="203"/>
      <c r="I7" s="203" t="s">
        <v>648</v>
      </c>
      <c r="J7" s="206">
        <f>C17</f>
        <v>16724.13206912153</v>
      </c>
      <c r="K7" s="203" t="s">
        <v>686</v>
      </c>
      <c r="L7" s="203"/>
      <c r="M7" s="203"/>
    </row>
    <row r="8" spans="1:13">
      <c r="A8" s="541"/>
      <c r="B8" s="541"/>
      <c r="C8" s="541"/>
      <c r="D8" s="3"/>
      <c r="E8" s="540"/>
      <c r="F8" s="540"/>
      <c r="G8" s="540"/>
      <c r="H8" s="203"/>
      <c r="I8" s="203" t="s">
        <v>687</v>
      </c>
      <c r="J8" s="203">
        <v>0.67</v>
      </c>
      <c r="K8" s="203" t="s">
        <v>688</v>
      </c>
      <c r="L8" s="203"/>
      <c r="M8" s="203"/>
    </row>
    <row r="9" spans="1:13">
      <c r="A9" s="541"/>
      <c r="B9" s="541"/>
      <c r="C9" s="541"/>
      <c r="D9" s="3"/>
      <c r="E9" s="540"/>
      <c r="F9" s="540"/>
      <c r="G9" s="540"/>
      <c r="H9" s="203"/>
      <c r="I9" s="203" t="s">
        <v>689</v>
      </c>
      <c r="J9" s="203">
        <v>0.2</v>
      </c>
      <c r="K9" s="203"/>
      <c r="L9" s="203"/>
      <c r="M9" s="203"/>
    </row>
    <row r="10" spans="1:13">
      <c r="A10" s="541"/>
      <c r="B10" s="541"/>
      <c r="C10" s="541"/>
      <c r="D10" s="3"/>
      <c r="E10" s="540"/>
      <c r="F10" s="540"/>
      <c r="G10" s="540"/>
      <c r="H10" s="203"/>
      <c r="I10" s="203" t="s">
        <v>690</v>
      </c>
      <c r="J10" s="203">
        <v>2770.9</v>
      </c>
      <c r="K10" s="203" t="s">
        <v>691</v>
      </c>
      <c r="L10" s="203"/>
      <c r="M10" s="203"/>
    </row>
    <row r="11" spans="1:13">
      <c r="A11" s="541"/>
      <c r="B11" s="541"/>
      <c r="C11" s="541"/>
      <c r="D11" s="3"/>
      <c r="E11" s="540"/>
      <c r="F11" s="540"/>
      <c r="G11" s="540"/>
      <c r="H11" s="203"/>
      <c r="I11" s="203" t="s">
        <v>690</v>
      </c>
      <c r="J11" s="203">
        <f>J10/1000</f>
        <v>2.7709000000000001</v>
      </c>
      <c r="K11" s="203" t="s">
        <v>692</v>
      </c>
      <c r="L11" s="203"/>
      <c r="M11" s="203"/>
    </row>
    <row r="12" spans="1:13" ht="15.75">
      <c r="A12" s="541"/>
      <c r="B12" s="541"/>
      <c r="C12" s="541"/>
      <c r="D12" s="3"/>
      <c r="E12" s="5"/>
      <c r="F12" s="2"/>
      <c r="G12" s="2"/>
      <c r="H12" s="203"/>
      <c r="I12" s="203"/>
      <c r="J12" s="203"/>
      <c r="K12" s="203"/>
      <c r="L12" s="203"/>
      <c r="M12" s="203"/>
    </row>
    <row r="13" spans="1:13" ht="15.75">
      <c r="A13" s="541"/>
      <c r="B13" s="541"/>
      <c r="C13" s="541"/>
      <c r="D13" s="3"/>
      <c r="E13" s="5"/>
      <c r="F13" s="2"/>
      <c r="G13" s="2"/>
      <c r="H13" s="203"/>
      <c r="I13" s="203" t="s">
        <v>693</v>
      </c>
      <c r="J13" s="203">
        <v>0.1</v>
      </c>
      <c r="K13" s="203" t="s">
        <v>694</v>
      </c>
      <c r="L13" s="203"/>
      <c r="M13" s="203"/>
    </row>
    <row r="14" spans="1:13" ht="16.5" thickBot="1">
      <c r="A14" s="541"/>
      <c r="B14" s="541"/>
      <c r="C14" s="541"/>
      <c r="D14" s="3"/>
      <c r="E14" s="5"/>
      <c r="F14" s="2"/>
      <c r="G14" s="2"/>
      <c r="H14" s="203"/>
      <c r="I14" s="203" t="s">
        <v>695</v>
      </c>
      <c r="J14" s="203">
        <f>(J11/(3.14*J13^2))</f>
        <v>88.245222929936304</v>
      </c>
      <c r="K14" s="203" t="s">
        <v>694</v>
      </c>
      <c r="L14" s="203"/>
      <c r="M14" s="203">
        <f>16+18+4</f>
        <v>38</v>
      </c>
    </row>
    <row r="15" spans="1:13" ht="16.5" thickBot="1">
      <c r="A15" s="536" t="s">
        <v>202</v>
      </c>
      <c r="B15" s="537"/>
      <c r="C15" s="537"/>
      <c r="D15" s="537"/>
      <c r="E15" s="537"/>
      <c r="F15" s="538"/>
      <c r="G15" s="2"/>
      <c r="H15" s="203"/>
      <c r="I15" s="203"/>
      <c r="J15" s="203"/>
      <c r="K15" s="203"/>
      <c r="L15" s="203"/>
      <c r="M15" s="203"/>
    </row>
    <row r="16" spans="1:13" ht="16.5" thickBot="1">
      <c r="A16" s="23" t="s">
        <v>204</v>
      </c>
      <c r="B16" s="40" t="s">
        <v>205</v>
      </c>
      <c r="C16" s="41" t="s">
        <v>206</v>
      </c>
      <c r="D16" s="40" t="s">
        <v>207</v>
      </c>
      <c r="E16" s="26" t="s">
        <v>172</v>
      </c>
      <c r="F16" s="23" t="s">
        <v>208</v>
      </c>
      <c r="G16" s="2"/>
      <c r="H16" s="203"/>
      <c r="I16" s="203"/>
      <c r="J16" s="203"/>
      <c r="K16" s="203"/>
      <c r="L16" s="203"/>
      <c r="M16" s="203"/>
    </row>
    <row r="17" spans="1:14" ht="15.75">
      <c r="A17" s="14" t="s">
        <v>696</v>
      </c>
      <c r="B17" s="436" t="s">
        <v>190</v>
      </c>
      <c r="C17" s="302">
        <f>M19</f>
        <v>16724.13206912153</v>
      </c>
      <c r="D17" s="31" t="s">
        <v>6</v>
      </c>
      <c r="E17" s="203"/>
      <c r="F17" s="208"/>
      <c r="G17" s="2"/>
      <c r="H17" s="203"/>
      <c r="I17" s="534" t="str">
        <f>'Línea de Potabilización de Agua'!A8</f>
        <v>Equipo: PFR</v>
      </c>
      <c r="J17" s="534"/>
      <c r="K17" s="534"/>
      <c r="L17" s="534"/>
      <c r="M17" s="534"/>
      <c r="N17" s="534"/>
    </row>
    <row r="18" spans="1:14" ht="45">
      <c r="A18" s="421" t="s">
        <v>697</v>
      </c>
      <c r="B18" s="436" t="s">
        <v>193</v>
      </c>
      <c r="C18" s="302">
        <f>M20</f>
        <v>925.9218274121572</v>
      </c>
      <c r="D18" s="31" t="s">
        <v>6</v>
      </c>
      <c r="E18" s="203"/>
      <c r="F18" s="460"/>
      <c r="G18" s="203"/>
      <c r="H18" s="203"/>
      <c r="I18" s="271" t="str">
        <f>'Línea de Potabilización de Agua'!A9</f>
        <v xml:space="preserve">Nombre corriente </v>
      </c>
      <c r="J18" s="271" t="str">
        <f>'Línea de Potabilización de Agua'!B9</f>
        <v>Entrada [Kg/semana]</v>
      </c>
      <c r="K18" s="271" t="str">
        <f>'Línea de Potabilización de Agua'!C9</f>
        <v>Especie</v>
      </c>
      <c r="L18" s="271" t="str">
        <f>'Línea de Potabilización de Agua'!D9</f>
        <v>Fracción másica</v>
      </c>
      <c r="M18" s="271" t="str">
        <f>'Línea de Potabilización de Agua'!E9</f>
        <v>Masa en corriente </v>
      </c>
      <c r="N18" s="271" t="str">
        <f>'Línea de Potabilización de Agua'!F9</f>
        <v>Unidad</v>
      </c>
    </row>
    <row r="19" spans="1:14" ht="30">
      <c r="A19" s="421" t="s">
        <v>281</v>
      </c>
      <c r="B19" s="436" t="s">
        <v>195</v>
      </c>
      <c r="C19" s="302">
        <f>M22</f>
        <v>17650.053896533685</v>
      </c>
      <c r="D19" s="31" t="s">
        <v>6</v>
      </c>
      <c r="E19" s="203"/>
      <c r="F19" s="460"/>
      <c r="G19" s="203"/>
      <c r="H19" s="203"/>
      <c r="I19" s="272" t="str">
        <f>'Línea de Potabilización de Agua'!A10</f>
        <v>F34</v>
      </c>
      <c r="J19" s="272">
        <f>'Línea de Potabilización de Agua'!B10</f>
        <v>16724.13206912153</v>
      </c>
      <c r="K19" s="276" t="str">
        <f>'Línea de Potabilización de Agua'!C10</f>
        <v>Agua sin sedimentos</v>
      </c>
      <c r="L19" s="272">
        <f>'Línea de Potabilización de Agua'!D10</f>
        <v>1</v>
      </c>
      <c r="M19" s="272">
        <f>'Línea de Potabilización de Agua'!E10</f>
        <v>16724.13206912153</v>
      </c>
      <c r="N19" s="272" t="str">
        <f>'Línea de Potabilización de Agua'!F10</f>
        <v>[kg/semana]</v>
      </c>
    </row>
    <row r="20" spans="1:14" ht="30">
      <c r="A20" s="421" t="s">
        <v>698</v>
      </c>
      <c r="B20" s="438" t="s">
        <v>699</v>
      </c>
      <c r="C20" s="305">
        <v>0.33</v>
      </c>
      <c r="D20" s="459" t="s">
        <v>700</v>
      </c>
      <c r="E20" s="203"/>
      <c r="F20" s="460" t="s">
        <v>224</v>
      </c>
      <c r="G20" s="203"/>
      <c r="H20" s="203"/>
      <c r="I20" s="272" t="str">
        <f>'Línea de Potabilización de Agua'!A11</f>
        <v>F35</v>
      </c>
      <c r="J20" s="272">
        <f>'Línea de Potabilización de Agua'!B11</f>
        <v>925.9218274121572</v>
      </c>
      <c r="K20" s="276" t="str">
        <f>'Línea de Potabilización de Agua'!C11</f>
        <v>Ácido Hipocloroso</v>
      </c>
      <c r="L20" s="272">
        <f>'Línea de Potabilización de Agua'!D11</f>
        <v>1</v>
      </c>
      <c r="M20" s="272">
        <f>'Línea de Potabilización de Agua'!E11</f>
        <v>925.9218274121572</v>
      </c>
      <c r="N20" s="272" t="str">
        <f>'Línea de Potabilización de Agua'!F11</f>
        <v>[kg/semana]</v>
      </c>
    </row>
    <row r="21" spans="1:14" ht="45.75" thickBot="1">
      <c r="A21" s="464" t="s">
        <v>701</v>
      </c>
      <c r="B21" s="465" t="s">
        <v>702</v>
      </c>
      <c r="C21" s="306">
        <v>58200</v>
      </c>
      <c r="D21" s="466" t="s">
        <v>703</v>
      </c>
      <c r="E21" s="203"/>
      <c r="F21" s="460" t="s">
        <v>230</v>
      </c>
      <c r="G21" s="203"/>
      <c r="H21" s="203"/>
      <c r="I21" s="271" t="str">
        <f>'Línea de Potabilización de Agua'!A12</f>
        <v xml:space="preserve">Nombre corriente </v>
      </c>
      <c r="J21" s="271" t="str">
        <f>'Línea de Potabilización de Agua'!B12</f>
        <v>Entrada [Kg/semana]</v>
      </c>
      <c r="K21" s="271" t="str">
        <f>'Línea de Potabilización de Agua'!C12</f>
        <v>Especie</v>
      </c>
      <c r="L21" s="271" t="str">
        <f>'Línea de Potabilización de Agua'!D12</f>
        <v>Fracción másica</v>
      </c>
      <c r="M21" s="271" t="str">
        <f>'Línea de Potabilización de Agua'!E12</f>
        <v>Masa en corriente </v>
      </c>
      <c r="N21" s="271" t="str">
        <f>'Línea de Potabilización de Agua'!F12</f>
        <v>Unidad</v>
      </c>
    </row>
    <row r="22" spans="1:14" ht="30.75" thickBot="1">
      <c r="A22" s="203"/>
      <c r="B22" s="203"/>
      <c r="C22" s="203"/>
      <c r="D22" s="203"/>
      <c r="E22" s="467"/>
      <c r="F22" s="463"/>
      <c r="G22" s="203"/>
      <c r="H22" s="203"/>
      <c r="I22" s="272" t="str">
        <f>'Línea de Potabilización de Agua'!A13</f>
        <v>F36</v>
      </c>
      <c r="J22" s="272">
        <f>'Línea de Potabilización de Agua'!B13</f>
        <v>17650.053896533685</v>
      </c>
      <c r="K22" s="276" t="str">
        <f>'Línea de Potabilización de Agua'!C13</f>
        <v>Agua Potabilizada</v>
      </c>
      <c r="L22" s="272">
        <f>'Línea de Potabilización de Agua'!D13</f>
        <v>1</v>
      </c>
      <c r="M22" s="272">
        <f>'Línea de Potabilización de Agua'!E13</f>
        <v>17650.053896533685</v>
      </c>
      <c r="N22" s="272" t="str">
        <f>'Línea de Potabilización de Agua'!F13</f>
        <v>[kg/semana]</v>
      </c>
    </row>
    <row r="23" spans="1:14" ht="16.5" thickBot="1">
      <c r="A23" s="203"/>
      <c r="B23" s="203"/>
      <c r="C23" s="203"/>
      <c r="D23" s="203"/>
      <c r="E23" s="2"/>
      <c r="F23" s="2"/>
      <c r="G23" s="203"/>
      <c r="H23" s="203"/>
      <c r="I23" s="203"/>
      <c r="J23" s="203"/>
      <c r="K23" s="203"/>
      <c r="L23" s="203"/>
      <c r="M23" s="203"/>
      <c r="N23" s="203"/>
    </row>
    <row r="24" spans="1:14" ht="16.5" thickBot="1">
      <c r="A24" s="536" t="s">
        <v>248</v>
      </c>
      <c r="B24" s="537"/>
      <c r="C24" s="537"/>
      <c r="D24" s="537"/>
      <c r="E24" s="538"/>
      <c r="F24" s="2"/>
      <c r="G24" s="203"/>
      <c r="H24" s="203"/>
      <c r="I24" s="203"/>
      <c r="J24" s="203"/>
      <c r="K24" s="203"/>
      <c r="L24" s="203"/>
      <c r="M24" s="203"/>
      <c r="N24" s="203"/>
    </row>
    <row r="25" spans="1:14" ht="15.75">
      <c r="A25" s="2" t="s">
        <v>704</v>
      </c>
      <c r="B25" s="6" t="s">
        <v>705</v>
      </c>
      <c r="C25" s="7" t="s">
        <v>94</v>
      </c>
      <c r="D25" s="6">
        <v>0.99</v>
      </c>
      <c r="E25" s="18"/>
      <c r="F25" s="2"/>
      <c r="G25" s="203"/>
      <c r="H25" s="203"/>
      <c r="I25" s="203"/>
      <c r="J25" s="203"/>
      <c r="K25" s="203"/>
      <c r="L25" s="203"/>
      <c r="M25" s="203"/>
      <c r="N25" s="203"/>
    </row>
    <row r="26" spans="1:14" ht="15.75">
      <c r="A26" s="619" t="s">
        <v>706</v>
      </c>
      <c r="B26" s="620"/>
      <c r="C26" s="620"/>
      <c r="D26" s="620"/>
      <c r="E26" s="621"/>
      <c r="F26" s="2"/>
      <c r="G26" s="203"/>
      <c r="H26" s="203"/>
      <c r="I26" s="203"/>
      <c r="J26" s="203"/>
      <c r="K26" s="203"/>
      <c r="L26" s="203"/>
      <c r="M26" s="203"/>
      <c r="N26" s="203"/>
    </row>
    <row r="27" spans="1:14" ht="47.45" customHeight="1" thickBot="1">
      <c r="A27" s="421" t="s">
        <v>707</v>
      </c>
      <c r="B27" s="438" t="s">
        <v>708</v>
      </c>
      <c r="C27" s="438" t="s">
        <v>700</v>
      </c>
      <c r="D27" s="438">
        <v>1</v>
      </c>
      <c r="E27" s="22"/>
      <c r="F27" s="2"/>
      <c r="G27" s="203"/>
      <c r="H27" s="203"/>
      <c r="I27" s="203"/>
      <c r="J27" s="203"/>
      <c r="K27" s="203"/>
      <c r="L27" s="203"/>
      <c r="M27" s="203"/>
      <c r="N27" s="203"/>
    </row>
    <row r="28" spans="1:14" ht="16.5" thickBot="1">
      <c r="A28" s="2"/>
      <c r="B28" s="6"/>
      <c r="C28" s="7"/>
      <c r="D28" s="6"/>
      <c r="E28" s="2"/>
      <c r="F28" s="2"/>
      <c r="G28" s="203"/>
      <c r="H28" s="203"/>
      <c r="I28" s="203"/>
      <c r="J28" s="203"/>
      <c r="K28" s="203"/>
      <c r="L28" s="203"/>
      <c r="M28" s="203"/>
      <c r="N28" s="203"/>
    </row>
    <row r="29" spans="1:14" ht="15.75" thickBot="1">
      <c r="A29" s="536" t="s">
        <v>252</v>
      </c>
      <c r="B29" s="537"/>
      <c r="C29" s="537"/>
      <c r="D29" s="537"/>
      <c r="E29" s="537"/>
      <c r="F29" s="538"/>
      <c r="G29" s="203"/>
      <c r="H29" s="203"/>
      <c r="I29" s="203"/>
      <c r="J29" s="203"/>
      <c r="K29" s="203"/>
      <c r="L29" s="203"/>
      <c r="M29" s="203"/>
      <c r="N29" s="203"/>
    </row>
    <row r="30" spans="1:14" ht="15.75" thickBot="1">
      <c r="A30" s="39" t="s">
        <v>204</v>
      </c>
      <c r="B30" s="40" t="s">
        <v>205</v>
      </c>
      <c r="C30" s="41" t="s">
        <v>206</v>
      </c>
      <c r="D30" s="40" t="s">
        <v>207</v>
      </c>
      <c r="E30" s="23" t="s">
        <v>253</v>
      </c>
      <c r="F30" s="23" t="s">
        <v>172</v>
      </c>
      <c r="G30" s="203"/>
      <c r="H30" s="203"/>
      <c r="I30" s="203"/>
      <c r="J30" s="203"/>
      <c r="K30" s="203"/>
      <c r="L30" s="203"/>
      <c r="M30" s="203"/>
      <c r="N30" s="203"/>
    </row>
    <row r="31" spans="1:14" ht="15.75">
      <c r="A31" s="428" t="s">
        <v>709</v>
      </c>
      <c r="B31" s="407" t="s">
        <v>710</v>
      </c>
      <c r="C31" s="302">
        <f>(((C17/'Línea Leche de almendra'!B3)*1000)*C20)/(5*2*60*60)</f>
        <v>0.15374579439686639</v>
      </c>
      <c r="D31" s="10" t="s">
        <v>711</v>
      </c>
      <c r="E31" s="203"/>
      <c r="F31" s="435"/>
      <c r="G31" s="160"/>
      <c r="H31" s="203"/>
      <c r="I31" s="203"/>
      <c r="J31" s="203"/>
      <c r="K31" s="203"/>
      <c r="L31" s="203"/>
      <c r="M31" s="203"/>
      <c r="N31" s="203"/>
    </row>
    <row r="32" spans="1:14" s="203" customFormat="1" ht="15.75">
      <c r="A32" s="428" t="s">
        <v>712</v>
      </c>
      <c r="B32" s="407"/>
      <c r="C32" s="302">
        <f>22570.47/1000</f>
        <v>22.57047</v>
      </c>
      <c r="D32" s="10" t="s">
        <v>415</v>
      </c>
      <c r="F32" s="468"/>
      <c r="G32" s="160"/>
    </row>
    <row r="33" spans="1:7" ht="18">
      <c r="A33" s="9" t="s">
        <v>713</v>
      </c>
      <c r="B33" s="407" t="s">
        <v>496</v>
      </c>
      <c r="C33" s="403">
        <f>C31*C32</f>
        <v>3.4701148400606412</v>
      </c>
      <c r="D33" s="407" t="s">
        <v>714</v>
      </c>
      <c r="E33" s="13"/>
      <c r="F33" s="1"/>
      <c r="G33" s="203"/>
    </row>
    <row r="34" spans="1:7">
      <c r="A34" s="203"/>
      <c r="B34" s="203"/>
      <c r="C34" s="28"/>
      <c r="D34" s="203"/>
      <c r="E34" s="203"/>
      <c r="F34" s="203"/>
      <c r="G34" s="203"/>
    </row>
    <row r="35" spans="1:7" ht="15.75">
      <c r="A35" s="9"/>
      <c r="B35" s="407"/>
      <c r="C35" s="403"/>
      <c r="D35" s="407"/>
      <c r="E35" s="9"/>
      <c r="F35" s="9"/>
      <c r="G35" s="203"/>
    </row>
    <row r="36" spans="1:7" ht="15.75">
      <c r="A36" s="9"/>
      <c r="B36" s="407"/>
      <c r="C36" s="403"/>
      <c r="D36" s="407"/>
      <c r="E36" s="9"/>
      <c r="F36" s="9"/>
      <c r="G36" s="203"/>
    </row>
    <row r="37" spans="1:7" ht="15.75">
      <c r="A37" s="9"/>
      <c r="B37" s="407"/>
      <c r="C37" s="403"/>
      <c r="D37" s="407"/>
      <c r="E37" s="9"/>
      <c r="F37" s="9"/>
      <c r="G37" s="203"/>
    </row>
    <row r="38" spans="1:7" ht="15.75">
      <c r="A38" s="9"/>
      <c r="B38" s="407"/>
      <c r="C38" s="403"/>
      <c r="D38" s="407"/>
      <c r="E38" s="9"/>
      <c r="F38" s="9"/>
      <c r="G38" s="203"/>
    </row>
    <row r="39" spans="1:7" ht="15.75">
      <c r="A39" s="410"/>
      <c r="B39" s="2"/>
      <c r="C39" s="4"/>
      <c r="D39" s="2"/>
      <c r="E39" s="2"/>
      <c r="F39" s="2"/>
      <c r="G39" s="203"/>
    </row>
    <row r="40" spans="1:7" ht="15.75">
      <c r="A40" s="2"/>
      <c r="B40" s="2"/>
      <c r="C40" s="2"/>
      <c r="D40" s="2"/>
      <c r="E40" s="2"/>
      <c r="F40" s="2"/>
      <c r="G40" s="203"/>
    </row>
    <row r="41" spans="1:7" ht="15.75">
      <c r="A41" s="8" t="s">
        <v>33</v>
      </c>
      <c r="B41" s="2"/>
      <c r="C41" s="2"/>
      <c r="D41" s="2"/>
      <c r="E41" s="2"/>
      <c r="F41" s="2"/>
      <c r="G41" s="203"/>
    </row>
    <row r="42" spans="1:7" ht="15.75">
      <c r="A42" s="598" t="s">
        <v>715</v>
      </c>
      <c r="B42" s="599"/>
      <c r="C42" s="599"/>
      <c r="D42" s="599"/>
      <c r="E42" s="599"/>
      <c r="F42" s="2"/>
      <c r="G42" s="203"/>
    </row>
    <row r="43" spans="1:7" ht="15.75">
      <c r="A43" s="599"/>
      <c r="B43" s="599"/>
      <c r="C43" s="599"/>
      <c r="D43" s="599"/>
      <c r="E43" s="599"/>
      <c r="F43" s="2"/>
      <c r="G43" s="203"/>
    </row>
    <row r="44" spans="1:7" ht="15.75">
      <c r="A44" s="599"/>
      <c r="B44" s="599"/>
      <c r="C44" s="599"/>
      <c r="D44" s="599"/>
      <c r="E44" s="599"/>
      <c r="F44" s="2"/>
      <c r="G44" s="203"/>
    </row>
    <row r="45" spans="1:7" ht="15.75">
      <c r="A45" s="410"/>
      <c r="B45" s="2"/>
      <c r="C45" s="2"/>
      <c r="D45" s="2"/>
      <c r="E45" s="2"/>
      <c r="F45" s="2"/>
      <c r="G45" s="203"/>
    </row>
    <row r="46" spans="1:7" ht="15.75">
      <c r="A46" s="410"/>
      <c r="B46" s="2"/>
      <c r="C46" s="2"/>
      <c r="D46" s="2"/>
      <c r="E46" s="2"/>
      <c r="F46" s="2"/>
      <c r="G46" s="203"/>
    </row>
    <row r="47" spans="1:7" ht="15.75">
      <c r="A47" s="4"/>
      <c r="B47" s="2"/>
      <c r="C47" s="2"/>
      <c r="D47" s="2"/>
      <c r="E47" s="2"/>
      <c r="F47" s="2"/>
      <c r="G47" s="203"/>
    </row>
  </sheetData>
  <mergeCells count="9">
    <mergeCell ref="I17:N17"/>
    <mergeCell ref="A42:E44"/>
    <mergeCell ref="A29:F29"/>
    <mergeCell ref="A1:C14"/>
    <mergeCell ref="E1:G5"/>
    <mergeCell ref="E7:G11"/>
    <mergeCell ref="A15:F15"/>
    <mergeCell ref="A24:E24"/>
    <mergeCell ref="A26:E26"/>
  </mergeCells>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88"/>
  <sheetViews>
    <sheetView topLeftCell="M14" zoomScale="80" zoomScaleNormal="80" workbookViewId="0">
      <selection activeCell="P19" sqref="P19"/>
    </sheetView>
  </sheetViews>
  <sheetFormatPr baseColWidth="10" defaultColWidth="9.140625" defaultRowHeight="15"/>
  <cols>
    <col min="1" max="1" width="29.85546875" customWidth="1"/>
    <col min="2" max="2" width="43.85546875" customWidth="1"/>
    <col min="3" max="3" width="10.42578125" style="203" customWidth="1"/>
    <col min="4" max="4" width="11.140625" customWidth="1"/>
    <col min="5" max="5" width="11.85546875" customWidth="1"/>
    <col min="6" max="6" width="23.85546875" bestFit="1" customWidth="1"/>
    <col min="7" max="7" width="18.42578125" style="203" customWidth="1"/>
    <col min="8" max="8" width="19.42578125" bestFit="1" customWidth="1"/>
    <col min="9" max="9" width="13.42578125" bestFit="1" customWidth="1"/>
    <col min="10" max="10" width="9.85546875" bestFit="1" customWidth="1"/>
    <col min="11" max="11" width="6.85546875" customWidth="1"/>
    <col min="12" max="12" width="13" style="203" customWidth="1"/>
    <col min="13" max="13" width="27.42578125" bestFit="1" customWidth="1"/>
    <col min="14" max="14" width="32.85546875" bestFit="1" customWidth="1"/>
    <col min="15" max="15" width="15.85546875" style="203" bestFit="1" customWidth="1"/>
    <col min="16" max="16" width="15.42578125" customWidth="1"/>
    <col min="17" max="17" width="13.42578125" bestFit="1" customWidth="1"/>
    <col min="18" max="18" width="18.42578125" bestFit="1" customWidth="1"/>
    <col min="19" max="19" width="22.42578125" bestFit="1" customWidth="1"/>
    <col min="20" max="20" width="11.85546875" bestFit="1" customWidth="1"/>
    <col min="21" max="21" width="18.140625" customWidth="1"/>
    <col min="22" max="22" width="28.140625" bestFit="1" customWidth="1"/>
    <col min="23" max="23" width="13.42578125" bestFit="1" customWidth="1"/>
    <col min="24" max="24" width="29.140625" bestFit="1" customWidth="1"/>
    <col min="25" max="25" width="12.140625" bestFit="1" customWidth="1"/>
    <col min="26" max="26" width="15.42578125" customWidth="1"/>
    <col min="27" max="27" width="20.42578125" bestFit="1" customWidth="1"/>
    <col min="28" max="28" width="9.140625" bestFit="1" customWidth="1"/>
    <col min="29" max="29" width="12" bestFit="1" customWidth="1"/>
    <col min="30" max="30" width="10" bestFit="1" customWidth="1"/>
    <col min="31" max="31" width="13.42578125" bestFit="1" customWidth="1"/>
  </cols>
  <sheetData>
    <row r="1" spans="1:42">
      <c r="A1" s="487" t="s">
        <v>22</v>
      </c>
      <c r="B1" s="487"/>
      <c r="C1" s="201"/>
      <c r="D1" s="495" t="s">
        <v>23</v>
      </c>
      <c r="E1" s="495"/>
      <c r="F1" s="495"/>
      <c r="G1" s="495"/>
      <c r="H1" s="495"/>
      <c r="I1" s="496"/>
      <c r="J1" s="227"/>
      <c r="K1" s="227"/>
      <c r="L1" s="497" t="s">
        <v>24</v>
      </c>
      <c r="M1" s="497"/>
      <c r="N1" s="497"/>
      <c r="O1" s="497"/>
      <c r="P1" s="497"/>
      <c r="Q1" s="497"/>
      <c r="R1" s="28"/>
      <c r="S1" s="28"/>
      <c r="T1" s="28"/>
      <c r="U1" s="28"/>
      <c r="V1" s="28"/>
      <c r="W1" s="28"/>
      <c r="X1" s="28"/>
      <c r="Y1" s="28"/>
      <c r="Z1" s="28"/>
      <c r="AA1" s="28"/>
      <c r="AB1" s="28"/>
      <c r="AC1" s="28"/>
      <c r="AD1" s="28"/>
      <c r="AE1" s="28"/>
      <c r="AF1" s="30"/>
      <c r="AG1" s="203"/>
      <c r="AH1" s="203"/>
      <c r="AI1" s="203"/>
      <c r="AJ1" s="203"/>
      <c r="AK1" s="203"/>
      <c r="AL1" s="203"/>
      <c r="AM1" s="203"/>
      <c r="AN1" s="203"/>
      <c r="AO1" s="203"/>
      <c r="AP1" s="203"/>
    </row>
    <row r="2" spans="1:42" ht="45">
      <c r="A2" s="387" t="s">
        <v>25</v>
      </c>
      <c r="B2" s="338">
        <v>686.95</v>
      </c>
      <c r="C2" s="228"/>
      <c r="D2" s="229" t="s">
        <v>26</v>
      </c>
      <c r="E2" s="216" t="s">
        <v>27</v>
      </c>
      <c r="F2" s="217" t="s">
        <v>2</v>
      </c>
      <c r="G2" s="218" t="s">
        <v>28</v>
      </c>
      <c r="H2" s="217" t="s">
        <v>29</v>
      </c>
      <c r="I2" s="217" t="s">
        <v>4</v>
      </c>
      <c r="J2" s="227"/>
      <c r="K2" s="227"/>
      <c r="L2" s="379" t="s">
        <v>30</v>
      </c>
      <c r="M2" s="380" t="s">
        <v>27</v>
      </c>
      <c r="N2" s="380" t="s">
        <v>2</v>
      </c>
      <c r="O2" s="381" t="s">
        <v>31</v>
      </c>
      <c r="P2" s="382" t="s">
        <v>32</v>
      </c>
      <c r="Q2" s="380" t="s">
        <v>4</v>
      </c>
      <c r="R2" s="28"/>
      <c r="S2" s="28"/>
      <c r="T2" s="28"/>
      <c r="U2" s="28"/>
      <c r="V2" s="28"/>
      <c r="W2" s="203"/>
      <c r="X2" s="203"/>
      <c r="Y2" s="203"/>
      <c r="Z2" s="203"/>
      <c r="AA2" s="28"/>
      <c r="AB2" s="203"/>
      <c r="AC2" s="203"/>
      <c r="AD2" s="203"/>
      <c r="AE2" s="203"/>
      <c r="AF2" s="30"/>
      <c r="AG2" s="203"/>
      <c r="AH2" s="203"/>
      <c r="AI2" s="492" t="s">
        <v>33</v>
      </c>
      <c r="AJ2" s="493"/>
      <c r="AK2" s="493"/>
      <c r="AL2" s="493"/>
      <c r="AM2" s="493"/>
      <c r="AN2" s="493"/>
      <c r="AO2" s="493"/>
      <c r="AP2" s="494"/>
    </row>
    <row r="3" spans="1:42" ht="29.25">
      <c r="A3" s="387" t="s">
        <v>34</v>
      </c>
      <c r="B3" s="338">
        <f>997.13</f>
        <v>997.13</v>
      </c>
      <c r="C3" s="228"/>
      <c r="D3" s="499" t="s">
        <v>35</v>
      </c>
      <c r="E3" s="480">
        <f>SUM(H3:H6)</f>
        <v>2916.6199145036981</v>
      </c>
      <c r="F3" s="390" t="s">
        <v>36</v>
      </c>
      <c r="G3" s="390">
        <f>H3/$E$3</f>
        <v>0.37238743025135157</v>
      </c>
      <c r="H3" s="244">
        <f>H10</f>
        <v>1086.1125949819489</v>
      </c>
      <c r="I3" s="390" t="s">
        <v>6</v>
      </c>
      <c r="J3" s="227"/>
      <c r="K3" s="227"/>
      <c r="L3" s="475" t="s">
        <v>37</v>
      </c>
      <c r="M3" s="484">
        <f>0.08*P43</f>
        <v>1049.14786972</v>
      </c>
      <c r="N3" s="249" t="s">
        <v>5</v>
      </c>
      <c r="O3" s="244">
        <v>0.96</v>
      </c>
      <c r="P3" s="250">
        <f>M3*O3</f>
        <v>1007.1819549311999</v>
      </c>
      <c r="Q3" s="251" t="s">
        <v>6</v>
      </c>
      <c r="R3" s="28"/>
      <c r="S3" s="491"/>
      <c r="T3" s="28"/>
      <c r="U3" s="28"/>
      <c r="V3" s="28"/>
      <c r="W3" s="203"/>
      <c r="X3" s="203"/>
      <c r="Y3" s="203"/>
      <c r="Z3" s="203"/>
      <c r="AA3" s="28"/>
      <c r="AB3" s="203"/>
      <c r="AC3" s="203"/>
      <c r="AD3" s="203"/>
      <c r="AE3" s="203"/>
      <c r="AF3" s="30"/>
      <c r="AG3" s="203"/>
      <c r="AH3" s="203"/>
      <c r="AI3" s="518" t="s">
        <v>38</v>
      </c>
      <c r="AJ3" s="518"/>
      <c r="AK3" s="518"/>
      <c r="AL3" s="518"/>
      <c r="AM3" s="518"/>
      <c r="AN3" s="518"/>
      <c r="AO3" s="518"/>
      <c r="AP3" s="518"/>
    </row>
    <row r="4" spans="1:42" ht="29.25">
      <c r="A4" s="387" t="s">
        <v>39</v>
      </c>
      <c r="B4" s="338">
        <f>900</f>
        <v>900</v>
      </c>
      <c r="C4" s="228"/>
      <c r="D4" s="516"/>
      <c r="E4" s="481"/>
      <c r="F4" s="390" t="s">
        <v>10</v>
      </c>
      <c r="G4" s="390">
        <f t="shared" ref="G4:G6" si="0">H4/$E$3</f>
        <v>1.5612569748648466E-2</v>
      </c>
      <c r="H4" s="244">
        <f>H8</f>
        <v>45.535931845486111</v>
      </c>
      <c r="I4" s="390" t="s">
        <v>6</v>
      </c>
      <c r="J4" s="227"/>
      <c r="K4" s="227"/>
      <c r="L4" s="476"/>
      <c r="M4" s="485"/>
      <c r="N4" s="249" t="s">
        <v>17</v>
      </c>
      <c r="O4" s="244">
        <v>0.04</v>
      </c>
      <c r="P4" s="250">
        <f>M3*O4</f>
        <v>41.965914788799999</v>
      </c>
      <c r="Q4" s="251" t="s">
        <v>6</v>
      </c>
      <c r="R4" s="28"/>
      <c r="S4" s="491"/>
      <c r="T4" s="28"/>
      <c r="U4" s="28"/>
      <c r="V4" s="28"/>
      <c r="W4" s="87"/>
      <c r="X4" s="87"/>
      <c r="Y4" s="87"/>
      <c r="Z4" s="87"/>
      <c r="AA4" s="28"/>
      <c r="AB4" s="203"/>
      <c r="AC4" s="203"/>
      <c r="AD4" s="203"/>
      <c r="AE4" s="203"/>
      <c r="AF4" s="30"/>
      <c r="AG4" s="203"/>
      <c r="AH4" s="203"/>
      <c r="AI4" s="489" t="s">
        <v>40</v>
      </c>
      <c r="AJ4" s="489"/>
      <c r="AK4" s="489"/>
      <c r="AL4" s="489"/>
      <c r="AM4" s="489"/>
      <c r="AN4" s="489"/>
      <c r="AO4" s="489"/>
      <c r="AP4" s="489"/>
    </row>
    <row r="5" spans="1:42" ht="29.25">
      <c r="A5" s="387" t="s">
        <v>41</v>
      </c>
      <c r="B5" s="338">
        <v>50</v>
      </c>
      <c r="C5" s="228"/>
      <c r="D5" s="516"/>
      <c r="E5" s="481"/>
      <c r="F5" s="390" t="s">
        <v>17</v>
      </c>
      <c r="G5" s="390">
        <f t="shared" si="0"/>
        <v>1.2000000000000004E-2</v>
      </c>
      <c r="H5" s="244">
        <f>H9</f>
        <v>34.999438974044388</v>
      </c>
      <c r="I5" s="390" t="s">
        <v>6</v>
      </c>
      <c r="J5" s="227"/>
      <c r="K5" s="227"/>
      <c r="L5" s="252" t="s">
        <v>42</v>
      </c>
      <c r="M5" s="251">
        <f>P7-M3</f>
        <v>11597.658618797792</v>
      </c>
      <c r="N5" s="253" t="s">
        <v>43</v>
      </c>
      <c r="O5" s="386">
        <v>0.92</v>
      </c>
      <c r="P5" s="251">
        <f>P7-P3-P4</f>
        <v>11597.658618797792</v>
      </c>
      <c r="Q5" s="251" t="s">
        <v>6</v>
      </c>
      <c r="R5" s="28"/>
      <c r="S5" s="28"/>
      <c r="T5" s="28"/>
      <c r="U5" s="28"/>
      <c r="V5" s="28"/>
      <c r="W5" s="87"/>
      <c r="X5" s="87"/>
      <c r="Y5" s="87"/>
      <c r="Z5" s="87"/>
      <c r="AA5" s="28"/>
      <c r="AB5" s="203"/>
      <c r="AC5" s="203"/>
      <c r="AD5" s="203"/>
      <c r="AE5" s="203"/>
      <c r="AF5" s="30"/>
      <c r="AG5" s="203"/>
      <c r="AH5" s="203"/>
      <c r="AI5" s="489" t="s">
        <v>44</v>
      </c>
      <c r="AJ5" s="489"/>
      <c r="AK5" s="489"/>
      <c r="AL5" s="489"/>
      <c r="AM5" s="489"/>
      <c r="AN5" s="489"/>
      <c r="AO5" s="489"/>
      <c r="AP5" s="489"/>
    </row>
    <row r="6" spans="1:42" ht="30">
      <c r="A6" s="387" t="s">
        <v>45</v>
      </c>
      <c r="B6" s="338">
        <v>983.13</v>
      </c>
      <c r="C6" s="228"/>
      <c r="D6" s="500"/>
      <c r="E6" s="482"/>
      <c r="F6" s="390" t="s">
        <v>8</v>
      </c>
      <c r="G6" s="390">
        <f t="shared" si="0"/>
        <v>0.6</v>
      </c>
      <c r="H6" s="244">
        <f>H11</f>
        <v>1749.9719487022189</v>
      </c>
      <c r="I6" s="390" t="s">
        <v>6</v>
      </c>
      <c r="J6" s="227"/>
      <c r="K6" s="227"/>
      <c r="L6" s="246" t="s">
        <v>30</v>
      </c>
      <c r="M6" s="247" t="s">
        <v>46</v>
      </c>
      <c r="N6" s="247" t="s">
        <v>2</v>
      </c>
      <c r="O6" s="248" t="s">
        <v>31</v>
      </c>
      <c r="P6" s="248" t="s">
        <v>32</v>
      </c>
      <c r="Q6" s="247" t="s">
        <v>4</v>
      </c>
      <c r="R6" s="28"/>
      <c r="S6" s="28"/>
      <c r="T6" s="28"/>
      <c r="U6" s="28"/>
      <c r="V6" s="28"/>
      <c r="W6" s="87"/>
      <c r="X6" s="87"/>
      <c r="Y6" s="87"/>
      <c r="Z6" s="87"/>
      <c r="AA6" s="28"/>
      <c r="AB6" s="28"/>
      <c r="AC6" s="28"/>
      <c r="AD6" s="28"/>
      <c r="AE6" s="28"/>
      <c r="AF6" s="30"/>
      <c r="AG6" s="203"/>
      <c r="AH6" s="203"/>
      <c r="AI6" s="489" t="s">
        <v>47</v>
      </c>
      <c r="AJ6" s="489"/>
      <c r="AK6" s="489"/>
      <c r="AL6" s="489"/>
      <c r="AM6" s="489"/>
      <c r="AN6" s="489"/>
      <c r="AO6" s="489"/>
      <c r="AP6" s="489"/>
    </row>
    <row r="7" spans="1:42" s="203" customFormat="1" ht="45.95" customHeight="1">
      <c r="A7" s="387" t="s">
        <v>48</v>
      </c>
      <c r="B7" s="338">
        <f>(H28/B4)*B5*('Tanque de Remojo'!C27/100)*'Tanque de Remojo'!D55</f>
        <v>90.509382915162405</v>
      </c>
      <c r="C7" s="228"/>
      <c r="D7" s="234" t="s">
        <v>26</v>
      </c>
      <c r="E7" s="238" t="s">
        <v>46</v>
      </c>
      <c r="F7" s="217" t="s">
        <v>2</v>
      </c>
      <c r="G7" s="218" t="s">
        <v>28</v>
      </c>
      <c r="H7" s="217" t="s">
        <v>29</v>
      </c>
      <c r="I7" s="217" t="s">
        <v>4</v>
      </c>
      <c r="J7" s="227"/>
      <c r="K7" s="227"/>
      <c r="L7" s="252" t="s">
        <v>49</v>
      </c>
      <c r="M7" s="251">
        <f>P7</f>
        <v>12646.806488517792</v>
      </c>
      <c r="N7" s="253" t="s">
        <v>50</v>
      </c>
      <c r="O7" s="251">
        <v>1</v>
      </c>
      <c r="P7" s="251">
        <f>P11</f>
        <v>12646.806488517792</v>
      </c>
      <c r="Q7" s="251" t="s">
        <v>6</v>
      </c>
      <c r="R7" s="222"/>
      <c r="S7" s="222"/>
      <c r="T7" s="28"/>
      <c r="U7" s="28"/>
      <c r="V7" s="28"/>
      <c r="W7" s="239"/>
      <c r="X7" s="239"/>
      <c r="Y7" s="239"/>
      <c r="Z7" s="240"/>
      <c r="AA7" s="28"/>
      <c r="AB7" s="28"/>
      <c r="AC7" s="28"/>
      <c r="AD7" s="28"/>
      <c r="AE7" s="28"/>
      <c r="AF7" s="30"/>
      <c r="AI7" s="489" t="s">
        <v>51</v>
      </c>
      <c r="AJ7" s="489"/>
      <c r="AK7" s="489"/>
      <c r="AL7" s="489"/>
      <c r="AM7" s="489"/>
      <c r="AN7" s="489"/>
      <c r="AO7" s="489"/>
      <c r="AP7" s="489"/>
    </row>
    <row r="8" spans="1:42" ht="29.1" customHeight="1">
      <c r="A8" s="387" t="s">
        <v>52</v>
      </c>
      <c r="B8" s="339">
        <f>B3*0.955+B4*0.045</f>
        <v>992.75914999999998</v>
      </c>
      <c r="C8" s="228"/>
      <c r="D8" s="508" t="s">
        <v>53</v>
      </c>
      <c r="E8" s="483">
        <f>SUM(H8:H11)</f>
        <v>2916.6199145036981</v>
      </c>
      <c r="F8" s="236" t="s">
        <v>54</v>
      </c>
      <c r="G8" s="390">
        <f>H8/$E$8</f>
        <v>1.5612569748648466E-2</v>
      </c>
      <c r="H8" s="244">
        <f>H18</f>
        <v>45.535931845486111</v>
      </c>
      <c r="I8" s="390" t="s">
        <v>6</v>
      </c>
      <c r="J8" s="227"/>
      <c r="K8" s="227"/>
      <c r="L8" s="254"/>
      <c r="M8" s="255"/>
      <c r="N8" s="255"/>
      <c r="O8" s="255"/>
      <c r="P8" s="255"/>
      <c r="Q8" s="255"/>
      <c r="R8" s="222"/>
      <c r="S8" s="222"/>
      <c r="T8" s="28"/>
      <c r="U8" s="28"/>
      <c r="V8" s="28"/>
      <c r="W8" s="222"/>
      <c r="X8" s="222"/>
      <c r="Y8" s="222"/>
      <c r="Z8" s="222"/>
      <c r="AA8" s="28"/>
      <c r="AB8" s="28"/>
      <c r="AC8" s="28"/>
      <c r="AD8" s="28"/>
      <c r="AE8" s="28"/>
      <c r="AF8" s="30"/>
      <c r="AG8" s="203"/>
      <c r="AH8" s="203"/>
      <c r="AI8" s="489" t="s">
        <v>55</v>
      </c>
      <c r="AJ8" s="489"/>
      <c r="AK8" s="489"/>
      <c r="AL8" s="489"/>
      <c r="AM8" s="489"/>
      <c r="AN8" s="489"/>
      <c r="AO8" s="489"/>
      <c r="AP8" s="489"/>
    </row>
    <row r="9" spans="1:42" ht="29.1" customHeight="1">
      <c r="A9" s="387" t="s">
        <v>56</v>
      </c>
      <c r="B9" s="338">
        <f>B2*B8</f>
        <v>681975.89809250005</v>
      </c>
      <c r="C9" s="228"/>
      <c r="D9" s="508"/>
      <c r="E9" s="483"/>
      <c r="F9" s="236" t="s">
        <v>17</v>
      </c>
      <c r="G9" s="358">
        <f t="shared" ref="G9:G11" si="1">H9/$E$8</f>
        <v>1.2000000000000004E-2</v>
      </c>
      <c r="H9" s="244">
        <f>H19</f>
        <v>34.999438974044388</v>
      </c>
      <c r="I9" s="390" t="s">
        <v>6</v>
      </c>
      <c r="J9" s="227"/>
      <c r="K9" s="227"/>
      <c r="L9" s="498" t="s">
        <v>57</v>
      </c>
      <c r="M9" s="498"/>
      <c r="N9" s="498"/>
      <c r="O9" s="498"/>
      <c r="P9" s="498"/>
      <c r="Q9" s="498"/>
      <c r="R9" s="28"/>
      <c r="S9" s="28"/>
      <c r="T9" s="28"/>
      <c r="U9" s="28"/>
      <c r="V9" s="28"/>
      <c r="W9" s="87"/>
      <c r="X9" s="87"/>
      <c r="Y9" s="87"/>
      <c r="Z9" s="87"/>
      <c r="AA9" s="28"/>
      <c r="AB9" s="203"/>
      <c r="AC9" s="203"/>
      <c r="AD9" s="203"/>
      <c r="AE9" s="203"/>
      <c r="AF9" s="30"/>
      <c r="AG9" s="203"/>
      <c r="AH9" s="203"/>
      <c r="AI9" s="489" t="s">
        <v>58</v>
      </c>
      <c r="AJ9" s="489"/>
      <c r="AK9" s="489"/>
      <c r="AL9" s="489"/>
      <c r="AM9" s="489"/>
      <c r="AN9" s="489"/>
      <c r="AO9" s="489"/>
      <c r="AP9" s="489"/>
    </row>
    <row r="10" spans="1:42" ht="28.35" customHeight="1">
      <c r="A10" s="334" t="s">
        <v>14</v>
      </c>
      <c r="B10" s="334" t="s">
        <v>59</v>
      </c>
      <c r="C10" s="228"/>
      <c r="D10" s="508"/>
      <c r="E10" s="483"/>
      <c r="F10" s="236" t="s">
        <v>36</v>
      </c>
      <c r="G10" s="390">
        <f t="shared" si="1"/>
        <v>0.37238743025135157</v>
      </c>
      <c r="H10" s="244">
        <f>H16</f>
        <v>1086.1125949819489</v>
      </c>
      <c r="I10" s="390" t="s">
        <v>6</v>
      </c>
      <c r="J10" s="227"/>
      <c r="K10" s="227"/>
      <c r="L10" s="246" t="s">
        <v>30</v>
      </c>
      <c r="M10" s="247" t="s">
        <v>60</v>
      </c>
      <c r="N10" s="247" t="s">
        <v>2</v>
      </c>
      <c r="O10" s="248" t="s">
        <v>31</v>
      </c>
      <c r="P10" s="247" t="s">
        <v>3</v>
      </c>
      <c r="Q10" s="247" t="s">
        <v>4</v>
      </c>
      <c r="R10" s="28"/>
      <c r="S10" s="28"/>
      <c r="T10" s="28"/>
      <c r="U10" s="28"/>
      <c r="V10" s="28"/>
      <c r="W10" s="241"/>
      <c r="X10" s="241"/>
      <c r="Y10" s="241"/>
      <c r="Z10" s="241"/>
      <c r="AA10" s="28"/>
      <c r="AB10" s="203"/>
      <c r="AC10" s="203"/>
      <c r="AD10" s="203"/>
      <c r="AE10" s="203"/>
      <c r="AF10" s="30"/>
      <c r="AG10" s="203"/>
      <c r="AH10" s="203"/>
      <c r="AI10" s="473" t="s">
        <v>61</v>
      </c>
      <c r="AJ10" s="473"/>
      <c r="AK10" s="473"/>
      <c r="AL10" s="473"/>
      <c r="AM10" s="473"/>
      <c r="AN10" s="473"/>
      <c r="AO10" s="473"/>
      <c r="AP10" s="473"/>
    </row>
    <row r="11" spans="1:42">
      <c r="A11" s="388" t="s">
        <v>62</v>
      </c>
      <c r="B11" s="388">
        <v>1200</v>
      </c>
      <c r="C11" s="228"/>
      <c r="D11" s="508"/>
      <c r="E11" s="483"/>
      <c r="F11" s="236" t="s">
        <v>8</v>
      </c>
      <c r="G11" s="390">
        <f t="shared" si="1"/>
        <v>0.6</v>
      </c>
      <c r="H11" s="244">
        <f>H17</f>
        <v>1749.9719487022189</v>
      </c>
      <c r="I11" s="390" t="s">
        <v>6</v>
      </c>
      <c r="J11" s="227"/>
      <c r="K11" s="227"/>
      <c r="L11" s="252" t="s">
        <v>49</v>
      </c>
      <c r="M11" s="251">
        <f>P11</f>
        <v>12646.806488517792</v>
      </c>
      <c r="N11" s="253" t="s">
        <v>50</v>
      </c>
      <c r="O11" s="253">
        <v>1</v>
      </c>
      <c r="P11" s="251">
        <f>P13+P14</f>
        <v>12646.806488517792</v>
      </c>
      <c r="Q11" s="251" t="s">
        <v>6</v>
      </c>
      <c r="R11" s="28"/>
      <c r="S11" s="28"/>
      <c r="T11" s="28"/>
      <c r="U11" s="28"/>
      <c r="V11" s="28"/>
      <c r="W11" s="203"/>
      <c r="X11" s="203"/>
      <c r="Y11" s="203"/>
      <c r="Z11" s="203"/>
      <c r="AA11" s="28"/>
      <c r="AB11" s="203"/>
      <c r="AC11" s="203"/>
      <c r="AD11" s="203"/>
      <c r="AE11" s="203"/>
      <c r="AF11" s="30"/>
      <c r="AG11" s="203"/>
      <c r="AH11" s="203"/>
      <c r="AI11" s="473"/>
      <c r="AJ11" s="473"/>
      <c r="AK11" s="473"/>
      <c r="AL11" s="473"/>
      <c r="AM11" s="473"/>
      <c r="AN11" s="473"/>
      <c r="AO11" s="473"/>
      <c r="AP11" s="473"/>
    </row>
    <row r="12" spans="1:42" s="203" customFormat="1" ht="30">
      <c r="A12" s="388" t="s">
        <v>63</v>
      </c>
      <c r="B12" s="388">
        <v>3.8</v>
      </c>
      <c r="C12" s="232"/>
      <c r="D12" s="223"/>
      <c r="E12" s="224"/>
      <c r="F12" s="224"/>
      <c r="G12" s="224"/>
      <c r="H12" s="233"/>
      <c r="I12" s="224"/>
      <c r="J12" s="227"/>
      <c r="K12" s="227"/>
      <c r="L12" s="246" t="s">
        <v>30</v>
      </c>
      <c r="M12" s="247" t="s">
        <v>46</v>
      </c>
      <c r="N12" s="247" t="s">
        <v>2</v>
      </c>
      <c r="O12" s="248" t="s">
        <v>31</v>
      </c>
      <c r="P12" s="248" t="s">
        <v>32</v>
      </c>
      <c r="Q12" s="247" t="s">
        <v>4</v>
      </c>
      <c r="R12" s="28"/>
      <c r="S12" s="28"/>
      <c r="T12" s="28"/>
      <c r="U12" s="28"/>
      <c r="V12" s="28"/>
      <c r="AA12" s="28"/>
      <c r="AF12" s="30"/>
      <c r="AI12" s="383"/>
      <c r="AJ12" s="383"/>
      <c r="AK12" s="383"/>
      <c r="AL12" s="383"/>
      <c r="AM12" s="383"/>
      <c r="AN12" s="383"/>
      <c r="AO12" s="383"/>
      <c r="AP12" s="383"/>
    </row>
    <row r="13" spans="1:42">
      <c r="A13" s="388" t="s">
        <v>64</v>
      </c>
      <c r="B13" s="388">
        <v>10</v>
      </c>
      <c r="C13" s="228"/>
      <c r="D13" s="201"/>
      <c r="E13" s="227"/>
      <c r="F13" s="227"/>
      <c r="G13" s="227"/>
      <c r="H13" s="227"/>
      <c r="I13" s="227"/>
      <c r="J13" s="227"/>
      <c r="K13" s="227"/>
      <c r="L13" s="252" t="s">
        <v>65</v>
      </c>
      <c r="M13" s="251">
        <f>P13</f>
        <v>12134.437292087499</v>
      </c>
      <c r="N13" s="253" t="s">
        <v>66</v>
      </c>
      <c r="O13" s="253">
        <v>1</v>
      </c>
      <c r="P13" s="251">
        <f>P18</f>
        <v>12134.437292087499</v>
      </c>
      <c r="Q13" s="251" t="s">
        <v>6</v>
      </c>
      <c r="R13" s="28"/>
      <c r="S13" s="28"/>
      <c r="T13" s="28"/>
      <c r="U13" s="28"/>
      <c r="V13" s="28"/>
      <c r="W13" s="203"/>
      <c r="X13" s="203"/>
      <c r="Y13" s="203"/>
      <c r="Z13" s="203"/>
      <c r="AA13" s="28"/>
      <c r="AB13" s="203"/>
      <c r="AC13" s="203"/>
      <c r="AD13" s="203"/>
      <c r="AE13" s="203"/>
      <c r="AF13" s="30"/>
      <c r="AG13" s="203"/>
      <c r="AH13" s="203"/>
      <c r="AI13" s="383"/>
      <c r="AJ13" s="383"/>
      <c r="AK13" s="383"/>
      <c r="AL13" s="383"/>
      <c r="AM13" s="383"/>
      <c r="AN13" s="383"/>
      <c r="AO13" s="383"/>
      <c r="AP13" s="383"/>
    </row>
    <row r="14" spans="1:42" ht="30" customHeight="1">
      <c r="A14" s="388"/>
      <c r="B14" s="334" t="s">
        <v>67</v>
      </c>
      <c r="C14" s="226"/>
      <c r="D14" s="511" t="s">
        <v>68</v>
      </c>
      <c r="E14" s="511"/>
      <c r="F14" s="511"/>
      <c r="G14" s="511"/>
      <c r="H14" s="511"/>
      <c r="I14" s="511"/>
      <c r="J14" s="227"/>
      <c r="K14" s="227"/>
      <c r="L14" s="252" t="s">
        <v>69</v>
      </c>
      <c r="M14" s="251">
        <f>P14</f>
        <v>512.36919643029171</v>
      </c>
      <c r="N14" s="253" t="s">
        <v>70</v>
      </c>
      <c r="O14" s="253">
        <v>1</v>
      </c>
      <c r="P14" s="251">
        <f>(P3-(P13*0.045))/0.9</f>
        <v>512.36919643029171</v>
      </c>
      <c r="Q14" s="251" t="s">
        <v>6</v>
      </c>
      <c r="R14" s="28"/>
      <c r="S14" s="28"/>
      <c r="T14" s="28"/>
      <c r="U14" s="28"/>
      <c r="V14" s="28"/>
      <c r="W14" s="203"/>
      <c r="X14" s="203"/>
      <c r="Y14" s="203"/>
      <c r="Z14" s="203"/>
      <c r="AA14" s="28"/>
      <c r="AB14" s="28"/>
      <c r="AC14" s="28"/>
      <c r="AD14" s="28"/>
      <c r="AE14" s="240"/>
      <c r="AF14" s="30"/>
      <c r="AG14" s="203"/>
      <c r="AH14" s="203"/>
      <c r="AI14" s="383"/>
      <c r="AJ14" s="383"/>
      <c r="AK14" s="383"/>
      <c r="AL14" s="383"/>
      <c r="AM14" s="383"/>
      <c r="AN14" s="383"/>
      <c r="AO14" s="383"/>
      <c r="AP14" s="383"/>
    </row>
    <row r="15" spans="1:42" ht="45" customHeight="1">
      <c r="A15" s="388" t="s">
        <v>71</v>
      </c>
      <c r="B15" s="388">
        <f>1200</f>
        <v>1200</v>
      </c>
      <c r="C15" s="226"/>
      <c r="D15" s="265" t="s">
        <v>26</v>
      </c>
      <c r="E15" s="266" t="s">
        <v>27</v>
      </c>
      <c r="F15" s="267" t="s">
        <v>2</v>
      </c>
      <c r="G15" s="267" t="s">
        <v>28</v>
      </c>
      <c r="H15" s="267" t="s">
        <v>29</v>
      </c>
      <c r="I15" s="267" t="s">
        <v>4</v>
      </c>
      <c r="J15" s="227"/>
      <c r="K15" s="227"/>
      <c r="L15" s="227"/>
      <c r="M15" s="227"/>
      <c r="N15" s="227"/>
      <c r="O15" s="227"/>
      <c r="P15" s="227"/>
      <c r="Q15" s="227"/>
      <c r="R15" s="28"/>
      <c r="S15" s="28"/>
      <c r="T15" s="28"/>
      <c r="U15" s="28"/>
      <c r="V15" s="28"/>
      <c r="W15" s="203"/>
      <c r="X15" s="203"/>
      <c r="Y15" s="203"/>
      <c r="Z15" s="203"/>
      <c r="AA15" s="28"/>
      <c r="AB15" s="28"/>
      <c r="AC15" s="28"/>
      <c r="AD15" s="28"/>
      <c r="AE15" s="28"/>
      <c r="AF15" s="30"/>
      <c r="AG15" s="203"/>
      <c r="AH15" s="203"/>
      <c r="AI15" s="383"/>
      <c r="AJ15" s="383"/>
      <c r="AK15" s="383"/>
      <c r="AL15" s="383"/>
      <c r="AM15" s="383"/>
      <c r="AN15" s="383"/>
      <c r="AO15" s="383"/>
      <c r="AP15" s="383"/>
    </row>
    <row r="16" spans="1:42" ht="29.25" customHeight="1">
      <c r="A16" s="203"/>
      <c r="B16" s="203"/>
      <c r="C16" s="226"/>
      <c r="D16" s="508" t="s">
        <v>53</v>
      </c>
      <c r="E16" s="480">
        <f>SUM(H16:H19)</f>
        <v>2916.6199145036985</v>
      </c>
      <c r="F16" s="390" t="s">
        <v>36</v>
      </c>
      <c r="G16" s="390">
        <f>H16/E16</f>
        <v>0.37238743025135151</v>
      </c>
      <c r="H16" s="244">
        <f>H23</f>
        <v>1086.1125949819489</v>
      </c>
      <c r="I16" s="390" t="s">
        <v>6</v>
      </c>
      <c r="J16" s="227"/>
      <c r="K16" s="227"/>
      <c r="L16" s="474" t="s">
        <v>72</v>
      </c>
      <c r="M16" s="474"/>
      <c r="N16" s="474"/>
      <c r="O16" s="474"/>
      <c r="P16" s="474"/>
      <c r="Q16" s="474"/>
      <c r="R16" s="28"/>
      <c r="S16" s="28"/>
      <c r="T16" s="28"/>
      <c r="U16" s="28"/>
      <c r="V16" s="28"/>
      <c r="W16" s="203"/>
      <c r="X16" s="203"/>
      <c r="Y16" s="203"/>
      <c r="Z16" s="203"/>
      <c r="AA16" s="28"/>
      <c r="AB16" s="28"/>
      <c r="AC16" s="28"/>
      <c r="AD16" s="28"/>
      <c r="AE16" s="28"/>
      <c r="AF16" s="30"/>
      <c r="AG16" s="203"/>
      <c r="AH16" s="203"/>
      <c r="AI16" s="383"/>
      <c r="AJ16" s="383"/>
      <c r="AK16" s="383"/>
      <c r="AL16" s="383"/>
      <c r="AM16" s="383"/>
      <c r="AN16" s="383"/>
      <c r="AO16" s="383"/>
      <c r="AP16" s="383"/>
    </row>
    <row r="17" spans="1:42" ht="26.25" customHeight="1">
      <c r="A17" s="335"/>
      <c r="B17" s="203"/>
      <c r="C17" s="226"/>
      <c r="D17" s="508"/>
      <c r="E17" s="481"/>
      <c r="F17" s="390" t="s">
        <v>8</v>
      </c>
      <c r="G17" s="390">
        <f>H17/E16</f>
        <v>0.6</v>
      </c>
      <c r="H17" s="244">
        <f>E21*0.6/0.4</f>
        <v>1749.9719487022189</v>
      </c>
      <c r="I17" s="390" t="s">
        <v>6</v>
      </c>
      <c r="J17" s="227"/>
      <c r="K17" s="227"/>
      <c r="L17" s="225" t="s">
        <v>30</v>
      </c>
      <c r="M17" s="220" t="s">
        <v>73</v>
      </c>
      <c r="N17" s="220" t="s">
        <v>2</v>
      </c>
      <c r="O17" s="219" t="s">
        <v>31</v>
      </c>
      <c r="P17" s="220" t="s">
        <v>3</v>
      </c>
      <c r="Q17" s="220" t="s">
        <v>4</v>
      </c>
      <c r="R17" s="28"/>
      <c r="S17" s="28"/>
      <c r="T17" s="28"/>
      <c r="U17" s="28"/>
      <c r="V17" s="28"/>
      <c r="W17" s="203"/>
      <c r="X17" s="203"/>
      <c r="Y17" s="203"/>
      <c r="Z17" s="203"/>
      <c r="AA17" s="28"/>
      <c r="AB17" s="28"/>
      <c r="AC17" s="28"/>
      <c r="AD17" s="28"/>
      <c r="AE17" s="28"/>
      <c r="AF17" s="30"/>
      <c r="AG17" s="203"/>
      <c r="AH17" s="203"/>
      <c r="AI17" s="383"/>
      <c r="AJ17" s="383"/>
      <c r="AK17" s="383"/>
      <c r="AL17" s="383"/>
      <c r="AM17" s="383"/>
      <c r="AN17" s="383"/>
      <c r="AO17" s="383"/>
      <c r="AP17" s="383"/>
    </row>
    <row r="18" spans="1:42">
      <c r="A18" s="335"/>
      <c r="B18" s="203"/>
      <c r="C18" s="226"/>
      <c r="D18" s="508"/>
      <c r="E18" s="481"/>
      <c r="F18" s="390" t="s">
        <v>74</v>
      </c>
      <c r="G18" s="390">
        <f>H18/E16</f>
        <v>1.5612569748648464E-2</v>
      </c>
      <c r="H18" s="244">
        <f>H21</f>
        <v>45.535931845486111</v>
      </c>
      <c r="I18" s="390" t="s">
        <v>6</v>
      </c>
      <c r="J18" s="227"/>
      <c r="K18" s="227"/>
      <c r="L18" s="230" t="s">
        <v>65</v>
      </c>
      <c r="M18" s="385">
        <f>P18</f>
        <v>12134.437292087499</v>
      </c>
      <c r="N18" s="385" t="s">
        <v>66</v>
      </c>
      <c r="O18" s="385">
        <v>1</v>
      </c>
      <c r="P18" s="385">
        <f>P29-SUM(P19:P27)</f>
        <v>12134.437292087499</v>
      </c>
      <c r="Q18" s="385" t="s">
        <v>6</v>
      </c>
      <c r="R18" s="28"/>
      <c r="S18" s="28"/>
      <c r="T18" s="28"/>
      <c r="U18" s="334" t="s">
        <v>75</v>
      </c>
      <c r="V18" s="486" t="s">
        <v>76</v>
      </c>
      <c r="W18" s="486"/>
      <c r="X18" s="486"/>
      <c r="Y18" s="486"/>
      <c r="Z18" s="337" t="s">
        <v>77</v>
      </c>
      <c r="AA18" s="203"/>
      <c r="AB18" s="487" t="s">
        <v>78</v>
      </c>
      <c r="AC18" s="487"/>
      <c r="AD18" s="487"/>
      <c r="AE18" s="28"/>
      <c r="AF18" s="30"/>
      <c r="AG18" s="203"/>
      <c r="AH18" s="203"/>
      <c r="AI18" s="383"/>
      <c r="AJ18" s="383"/>
      <c r="AK18" s="383"/>
      <c r="AL18" s="383"/>
      <c r="AM18" s="383"/>
      <c r="AN18" s="383"/>
      <c r="AO18" s="383"/>
      <c r="AP18" s="383"/>
    </row>
    <row r="19" spans="1:42" s="203" customFormat="1">
      <c r="A19" s="335"/>
      <c r="B19" s="27"/>
      <c r="C19" s="226"/>
      <c r="D19" s="508"/>
      <c r="E19" s="482"/>
      <c r="F19" s="390" t="s">
        <v>79</v>
      </c>
      <c r="G19" s="390">
        <f>H19/E16</f>
        <v>1.2000000000000002E-2</v>
      </c>
      <c r="H19" s="244">
        <f>H22</f>
        <v>34.999438974044388</v>
      </c>
      <c r="I19" s="390" t="s">
        <v>6</v>
      </c>
      <c r="J19" s="227"/>
      <c r="K19" s="227"/>
      <c r="L19" s="477" t="s">
        <v>80</v>
      </c>
      <c r="M19" s="501">
        <f>SUM(P19:P27)</f>
        <v>979.91107941249993</v>
      </c>
      <c r="N19" s="385" t="s">
        <v>81</v>
      </c>
      <c r="O19" s="385">
        <f>P19/$M$19</f>
        <v>0.40442445067321764</v>
      </c>
      <c r="P19" s="385">
        <f>R43*30/1000</f>
        <v>396.3</v>
      </c>
      <c r="Q19" s="385" t="s">
        <v>6</v>
      </c>
      <c r="R19" s="28"/>
      <c r="S19" s="28"/>
      <c r="T19" s="242"/>
      <c r="U19" s="488" t="s">
        <v>82</v>
      </c>
      <c r="V19" s="489" t="s">
        <v>83</v>
      </c>
      <c r="W19" s="489"/>
      <c r="X19" s="489"/>
      <c r="Y19" s="489"/>
      <c r="Z19" s="490" t="s">
        <v>84</v>
      </c>
      <c r="AB19" s="488" t="s">
        <v>85</v>
      </c>
      <c r="AC19" s="488"/>
      <c r="AD19" s="488"/>
      <c r="AE19" s="28"/>
      <c r="AF19" s="30"/>
      <c r="AI19" s="383"/>
      <c r="AJ19" s="383"/>
      <c r="AK19" s="383"/>
      <c r="AL19" s="383"/>
      <c r="AM19" s="383"/>
      <c r="AN19" s="383"/>
      <c r="AO19" s="383"/>
      <c r="AP19" s="383"/>
    </row>
    <row r="20" spans="1:42" ht="43.5" customHeight="1">
      <c r="A20" s="335"/>
      <c r="B20" s="27"/>
      <c r="C20" s="226"/>
      <c r="D20" s="229" t="s">
        <v>26</v>
      </c>
      <c r="E20" s="216" t="s">
        <v>46</v>
      </c>
      <c r="F20" s="217" t="s">
        <v>2</v>
      </c>
      <c r="G20" s="217" t="s">
        <v>28</v>
      </c>
      <c r="H20" s="245" t="s">
        <v>29</v>
      </c>
      <c r="I20" s="217" t="s">
        <v>4</v>
      </c>
      <c r="J20" s="227"/>
      <c r="K20" s="227"/>
      <c r="L20" s="478"/>
      <c r="M20" s="517"/>
      <c r="N20" s="385" t="s">
        <v>86</v>
      </c>
      <c r="O20" s="235">
        <f t="shared" ref="O20:O27" si="2">P20/$M$19</f>
        <v>1.6176978026928706E-5</v>
      </c>
      <c r="P20" s="235">
        <f>R43*B11*10^-9</f>
        <v>1.5852000000000002E-2</v>
      </c>
      <c r="Q20" s="385" t="s">
        <v>6</v>
      </c>
      <c r="R20" s="28"/>
      <c r="S20" s="28"/>
      <c r="T20" s="242"/>
      <c r="U20" s="488"/>
      <c r="V20" s="489"/>
      <c r="W20" s="489"/>
      <c r="X20" s="489"/>
      <c r="Y20" s="489"/>
      <c r="Z20" s="490"/>
      <c r="AA20" s="203"/>
      <c r="AB20" s="488"/>
      <c r="AC20" s="488"/>
      <c r="AD20" s="488"/>
      <c r="AE20" s="28"/>
      <c r="AF20" s="30"/>
      <c r="AG20" s="203"/>
      <c r="AH20" s="203"/>
      <c r="AI20" s="383"/>
      <c r="AJ20" s="383"/>
      <c r="AK20" s="383"/>
      <c r="AL20" s="383"/>
      <c r="AM20" s="383"/>
      <c r="AN20" s="383"/>
      <c r="AO20" s="383"/>
      <c r="AP20" s="383"/>
    </row>
    <row r="21" spans="1:42" ht="14.45" customHeight="1">
      <c r="A21" s="335"/>
      <c r="B21" s="27"/>
      <c r="C21" s="226"/>
      <c r="D21" s="508" t="s">
        <v>87</v>
      </c>
      <c r="E21" s="480">
        <f>SUM(H21:H23)</f>
        <v>1166.6479658014794</v>
      </c>
      <c r="F21" s="390" t="s">
        <v>74</v>
      </c>
      <c r="G21" s="390">
        <f>H21/E21</f>
        <v>3.903142437162116E-2</v>
      </c>
      <c r="H21" s="244">
        <f>H30</f>
        <v>45.535931845486111</v>
      </c>
      <c r="I21" s="390" t="s">
        <v>6</v>
      </c>
      <c r="J21" s="227"/>
      <c r="K21" s="227"/>
      <c r="L21" s="478"/>
      <c r="M21" s="517"/>
      <c r="N21" s="385" t="s">
        <v>88</v>
      </c>
      <c r="O21" s="360">
        <f t="shared" si="2"/>
        <v>5.1227097085274235E-8</v>
      </c>
      <c r="P21" s="235">
        <f>$R$43*B12*10^-9</f>
        <v>5.0198000000000003E-5</v>
      </c>
      <c r="Q21" s="385" t="s">
        <v>6</v>
      </c>
      <c r="R21" s="28"/>
      <c r="S21" s="28"/>
      <c r="T21" s="242"/>
      <c r="U21" s="488"/>
      <c r="V21" s="489"/>
      <c r="W21" s="489"/>
      <c r="X21" s="489"/>
      <c r="Y21" s="489"/>
      <c r="Z21" s="490"/>
      <c r="AA21" s="203"/>
      <c r="AB21" s="488"/>
      <c r="AC21" s="488"/>
      <c r="AD21" s="488"/>
      <c r="AE21" s="28"/>
      <c r="AF21" s="30"/>
      <c r="AG21" s="203"/>
      <c r="AH21" s="203"/>
      <c r="AI21" s="383"/>
      <c r="AJ21" s="383"/>
      <c r="AK21" s="383"/>
      <c r="AL21" s="383"/>
      <c r="AM21" s="383"/>
      <c r="AN21" s="383"/>
      <c r="AO21" s="383"/>
      <c r="AP21" s="383"/>
    </row>
    <row r="22" spans="1:42" ht="14.45" customHeight="1">
      <c r="A22" s="335"/>
      <c r="B22" s="27"/>
      <c r="C22" s="226"/>
      <c r="D22" s="508"/>
      <c r="E22" s="481"/>
      <c r="F22" s="390" t="s">
        <v>79</v>
      </c>
      <c r="G22" s="390">
        <f>H22/E21</f>
        <v>3.0000000000000006E-2</v>
      </c>
      <c r="H22" s="244">
        <f>H29</f>
        <v>34.999438974044388</v>
      </c>
      <c r="I22" s="390" t="s">
        <v>6</v>
      </c>
      <c r="J22" s="227"/>
      <c r="K22" s="227"/>
      <c r="L22" s="478"/>
      <c r="M22" s="517"/>
      <c r="N22" s="385" t="s">
        <v>89</v>
      </c>
      <c r="O22" s="360">
        <f t="shared" si="2"/>
        <v>1.3480815022440588E-7</v>
      </c>
      <c r="P22" s="235">
        <f>$R$43*B13*10^-9</f>
        <v>1.3210000000000001E-4</v>
      </c>
      <c r="Q22" s="385" t="s">
        <v>6</v>
      </c>
      <c r="R22" s="28"/>
      <c r="S22" s="28"/>
      <c r="T22" s="242"/>
      <c r="U22" s="488"/>
      <c r="V22" s="489"/>
      <c r="W22" s="489"/>
      <c r="X22" s="489"/>
      <c r="Y22" s="489"/>
      <c r="Z22" s="490"/>
      <c r="AA22" s="203"/>
      <c r="AB22" s="488" t="s">
        <v>90</v>
      </c>
      <c r="AC22" s="488"/>
      <c r="AD22" s="488"/>
      <c r="AE22" s="28"/>
      <c r="AF22" s="30"/>
      <c r="AG22" s="203"/>
      <c r="AH22" s="203"/>
      <c r="AI22" s="383"/>
      <c r="AJ22" s="383"/>
      <c r="AK22" s="383"/>
      <c r="AL22" s="383"/>
      <c r="AM22" s="383"/>
      <c r="AN22" s="383"/>
      <c r="AO22" s="383"/>
      <c r="AP22" s="383"/>
    </row>
    <row r="23" spans="1:42" ht="14.45" customHeight="1">
      <c r="A23" s="335"/>
      <c r="B23" s="27"/>
      <c r="C23" s="226"/>
      <c r="D23" s="508"/>
      <c r="E23" s="482"/>
      <c r="F23" s="390" t="s">
        <v>36</v>
      </c>
      <c r="G23" s="390">
        <f>H23/E21</f>
        <v>0.93096857562837887</v>
      </c>
      <c r="H23" s="244">
        <f>H28</f>
        <v>1086.1125949819489</v>
      </c>
      <c r="I23" s="390" t="s">
        <v>6</v>
      </c>
      <c r="J23" s="227"/>
      <c r="K23" s="227"/>
      <c r="L23" s="478"/>
      <c r="M23" s="517"/>
      <c r="N23" s="385" t="s">
        <v>91</v>
      </c>
      <c r="O23" s="235">
        <f t="shared" si="2"/>
        <v>1.6176978026928704E-2</v>
      </c>
      <c r="P23" s="385">
        <f>$R$43*B15*10^-6</f>
        <v>15.851999999999999</v>
      </c>
      <c r="Q23" s="385" t="s">
        <v>6</v>
      </c>
      <c r="R23" s="28"/>
      <c r="S23" s="28"/>
      <c r="T23" s="242"/>
      <c r="U23" s="488" t="s">
        <v>92</v>
      </c>
      <c r="V23" s="488" t="s">
        <v>93</v>
      </c>
      <c r="W23" s="488"/>
      <c r="X23" s="488"/>
      <c r="Y23" s="488"/>
      <c r="Z23" s="490" t="s">
        <v>94</v>
      </c>
      <c r="AA23" s="203"/>
      <c r="AB23" s="488"/>
      <c r="AC23" s="488"/>
      <c r="AD23" s="488"/>
      <c r="AE23" s="28"/>
      <c r="AF23" s="30"/>
      <c r="AG23" s="203"/>
      <c r="AH23" s="203"/>
      <c r="AI23" s="203"/>
      <c r="AJ23" s="203"/>
      <c r="AK23" s="203"/>
      <c r="AL23" s="203"/>
      <c r="AM23" s="203"/>
      <c r="AN23" s="203"/>
      <c r="AO23" s="203"/>
      <c r="AP23" s="203"/>
    </row>
    <row r="24" spans="1:42" ht="15" customHeight="1">
      <c r="A24" s="335"/>
      <c r="B24" s="27"/>
      <c r="C24" s="226"/>
      <c r="D24" s="392" t="s">
        <v>95</v>
      </c>
      <c r="E24" s="236">
        <f>H24</f>
        <v>1749.9719487022189</v>
      </c>
      <c r="F24" s="390" t="s">
        <v>8</v>
      </c>
      <c r="G24" s="390">
        <f>H24/E24</f>
        <v>1</v>
      </c>
      <c r="H24" s="244">
        <f>H17</f>
        <v>1749.9719487022189</v>
      </c>
      <c r="I24" s="390" t="s">
        <v>6</v>
      </c>
      <c r="J24" s="227"/>
      <c r="K24" s="227"/>
      <c r="L24" s="478"/>
      <c r="M24" s="517"/>
      <c r="N24" s="385" t="s">
        <v>96</v>
      </c>
      <c r="O24" s="385">
        <f t="shared" si="2"/>
        <v>1.3383202462985348E-2</v>
      </c>
      <c r="P24" s="385">
        <f>0.001*P29</f>
        <v>13.1143483715</v>
      </c>
      <c r="Q24" s="385" t="s">
        <v>6</v>
      </c>
      <c r="R24" s="28"/>
      <c r="S24" s="28"/>
      <c r="T24" s="242"/>
      <c r="U24" s="488"/>
      <c r="V24" s="488"/>
      <c r="W24" s="488"/>
      <c r="X24" s="488"/>
      <c r="Y24" s="488"/>
      <c r="Z24" s="490"/>
      <c r="AA24" s="203"/>
      <c r="AB24" s="488"/>
      <c r="AC24" s="488"/>
      <c r="AD24" s="488"/>
      <c r="AE24" s="28"/>
      <c r="AF24" s="30"/>
      <c r="AG24" s="203"/>
      <c r="AH24" s="203"/>
      <c r="AI24" s="203"/>
      <c r="AJ24" s="203"/>
      <c r="AK24" s="203"/>
      <c r="AL24" s="203"/>
      <c r="AM24" s="203"/>
      <c r="AN24" s="203"/>
      <c r="AO24" s="203"/>
      <c r="AP24" s="203"/>
    </row>
    <row r="25" spans="1:42" ht="14.45" customHeight="1">
      <c r="A25" s="335"/>
      <c r="B25" s="27"/>
      <c r="C25" s="226"/>
      <c r="D25" s="201"/>
      <c r="E25" s="227"/>
      <c r="F25" s="227"/>
      <c r="G25" s="227"/>
      <c r="H25" s="227"/>
      <c r="I25" s="227"/>
      <c r="J25" s="227"/>
      <c r="K25" s="227"/>
      <c r="L25" s="478"/>
      <c r="M25" s="517"/>
      <c r="N25" s="385" t="s">
        <v>97</v>
      </c>
      <c r="O25" s="385">
        <f t="shared" si="2"/>
        <v>1.3383202462985348E-2</v>
      </c>
      <c r="P25" s="385">
        <f>0.001*P43</f>
        <v>13.1143483715</v>
      </c>
      <c r="Q25" s="385" t="s">
        <v>6</v>
      </c>
      <c r="R25" s="28"/>
      <c r="S25" s="28"/>
      <c r="T25" s="242"/>
      <c r="U25" s="488"/>
      <c r="V25" s="488"/>
      <c r="W25" s="488"/>
      <c r="X25" s="488"/>
      <c r="Y25" s="488"/>
      <c r="Z25" s="490"/>
      <c r="AA25" s="203"/>
      <c r="AB25" s="488"/>
      <c r="AC25" s="488"/>
      <c r="AD25" s="488"/>
      <c r="AE25" s="28"/>
      <c r="AF25" s="30"/>
      <c r="AG25" s="203"/>
      <c r="AH25" s="203"/>
      <c r="AI25" s="203"/>
      <c r="AJ25" s="203"/>
      <c r="AK25" s="203"/>
      <c r="AL25" s="203"/>
      <c r="AM25" s="203"/>
      <c r="AN25" s="203"/>
      <c r="AO25" s="203"/>
      <c r="AP25" s="203"/>
    </row>
    <row r="26" spans="1:42" ht="14.45" customHeight="1">
      <c r="A26" s="335"/>
      <c r="B26" s="203"/>
      <c r="C26" s="226"/>
      <c r="D26" s="511" t="s">
        <v>98</v>
      </c>
      <c r="E26" s="511"/>
      <c r="F26" s="511"/>
      <c r="G26" s="511"/>
      <c r="H26" s="511"/>
      <c r="I26" s="511"/>
      <c r="J26" s="227"/>
      <c r="K26" s="227"/>
      <c r="L26" s="478"/>
      <c r="M26" s="517"/>
      <c r="N26" s="385" t="s">
        <v>99</v>
      </c>
      <c r="O26" s="385">
        <f t="shared" si="2"/>
        <v>1.3383202462985348E-2</v>
      </c>
      <c r="P26" s="385">
        <f>0.001*P43</f>
        <v>13.1143483715</v>
      </c>
      <c r="Q26" s="385" t="s">
        <v>6</v>
      </c>
      <c r="R26" s="28"/>
      <c r="S26" s="28"/>
      <c r="T26" s="242"/>
      <c r="U26" s="488" t="s">
        <v>100</v>
      </c>
      <c r="V26" s="488" t="s">
        <v>101</v>
      </c>
      <c r="W26" s="488"/>
      <c r="X26" s="488"/>
      <c r="Y26" s="488"/>
      <c r="Z26" s="490" t="s">
        <v>102</v>
      </c>
      <c r="AA26" s="203"/>
      <c r="AB26" s="488"/>
      <c r="AC26" s="488"/>
      <c r="AD26" s="488"/>
      <c r="AE26" s="28"/>
      <c r="AF26" s="30"/>
      <c r="AG26" s="203"/>
      <c r="AH26" s="203"/>
      <c r="AI26" s="203"/>
      <c r="AJ26" s="203"/>
      <c r="AK26" s="203"/>
      <c r="AL26" s="203"/>
      <c r="AM26" s="203"/>
      <c r="AN26" s="203"/>
      <c r="AO26" s="203"/>
      <c r="AP26" s="203"/>
    </row>
    <row r="27" spans="1:42" ht="29.1" customHeight="1">
      <c r="A27" s="335"/>
      <c r="B27" s="203"/>
      <c r="C27" s="242"/>
      <c r="D27" s="287" t="s">
        <v>26</v>
      </c>
      <c r="E27" s="218" t="s">
        <v>27</v>
      </c>
      <c r="F27" s="217" t="s">
        <v>2</v>
      </c>
      <c r="G27" s="217" t="s">
        <v>28</v>
      </c>
      <c r="H27" s="217" t="s">
        <v>29</v>
      </c>
      <c r="I27" s="217" t="s">
        <v>4</v>
      </c>
      <c r="J27" s="227"/>
      <c r="K27" s="227"/>
      <c r="L27" s="479"/>
      <c r="M27" s="502"/>
      <c r="N27" s="385" t="s">
        <v>103</v>
      </c>
      <c r="O27" s="385">
        <f t="shared" si="2"/>
        <v>0.53923260089762348</v>
      </c>
      <c r="P27" s="385">
        <f>R43*40/1000</f>
        <v>528.4</v>
      </c>
      <c r="Q27" s="385" t="s">
        <v>6</v>
      </c>
      <c r="R27" s="28"/>
      <c r="S27" s="28"/>
      <c r="T27" s="242"/>
      <c r="U27" s="488"/>
      <c r="V27" s="488"/>
      <c r="W27" s="488"/>
      <c r="X27" s="488"/>
      <c r="Y27" s="488"/>
      <c r="Z27" s="490"/>
      <c r="AA27" s="203"/>
      <c r="AB27" s="488"/>
      <c r="AC27" s="488"/>
      <c r="AD27" s="488"/>
      <c r="AE27" s="28"/>
      <c r="AF27" s="30"/>
      <c r="AG27" s="203"/>
      <c r="AH27" s="203"/>
      <c r="AI27" s="203"/>
      <c r="AJ27" s="203"/>
      <c r="AK27" s="203"/>
      <c r="AL27" s="203"/>
      <c r="AM27" s="203"/>
      <c r="AN27" s="203"/>
      <c r="AO27" s="203"/>
      <c r="AP27" s="203"/>
    </row>
    <row r="28" spans="1:42" ht="24.95" customHeight="1">
      <c r="A28" s="335"/>
      <c r="B28" s="203"/>
      <c r="C28" s="242"/>
      <c r="D28" s="507" t="s">
        <v>104</v>
      </c>
      <c r="E28" s="506">
        <f>SUM(H28:H30)</f>
        <v>1166.6479658014794</v>
      </c>
      <c r="F28" s="390" t="s">
        <v>36</v>
      </c>
      <c r="G28" s="390">
        <f>H28/E28</f>
        <v>0.93096857562837887</v>
      </c>
      <c r="H28" s="390">
        <f>H33+('Tanque de Remojo'!N32-'Tanque de Remojo'!N37)</f>
        <v>1086.1125949819489</v>
      </c>
      <c r="I28" s="390" t="s">
        <v>6</v>
      </c>
      <c r="J28" s="227"/>
      <c r="K28" s="227"/>
      <c r="L28" s="225" t="s">
        <v>30</v>
      </c>
      <c r="M28" s="220" t="s">
        <v>46</v>
      </c>
      <c r="N28" s="220" t="s">
        <v>2</v>
      </c>
      <c r="O28" s="219" t="s">
        <v>31</v>
      </c>
      <c r="P28" s="219" t="s">
        <v>32</v>
      </c>
      <c r="Q28" s="220" t="s">
        <v>4</v>
      </c>
      <c r="R28" s="28"/>
      <c r="S28" s="28"/>
      <c r="T28" s="242"/>
      <c r="U28" s="488" t="s">
        <v>105</v>
      </c>
      <c r="V28" s="488" t="s">
        <v>106</v>
      </c>
      <c r="W28" s="488"/>
      <c r="X28" s="488"/>
      <c r="Y28" s="488"/>
      <c r="Z28" s="490" t="s">
        <v>107</v>
      </c>
      <c r="AA28" s="203"/>
      <c r="AB28" s="488"/>
      <c r="AC28" s="488"/>
      <c r="AD28" s="488"/>
      <c r="AE28" s="28"/>
      <c r="AF28" s="30"/>
      <c r="AG28" s="203"/>
      <c r="AH28" s="203"/>
      <c r="AI28" s="203"/>
      <c r="AJ28" s="203"/>
      <c r="AK28" s="203"/>
      <c r="AL28" s="203"/>
      <c r="AM28" s="203"/>
      <c r="AN28" s="203"/>
      <c r="AO28" s="203"/>
      <c r="AP28" s="203"/>
    </row>
    <row r="29" spans="1:42" ht="15.95" customHeight="1">
      <c r="A29" s="335"/>
      <c r="B29" s="203"/>
      <c r="C29" s="327"/>
      <c r="D29" s="507"/>
      <c r="E29" s="506"/>
      <c r="F29" s="390" t="s">
        <v>17</v>
      </c>
      <c r="G29" s="390">
        <f>H29/E28</f>
        <v>3.0000000000000006E-2</v>
      </c>
      <c r="H29" s="390">
        <f>SUM(H28,H30)*0.03/0.97</f>
        <v>34.999438974044388</v>
      </c>
      <c r="I29" s="390" t="s">
        <v>6</v>
      </c>
      <c r="J29" s="227"/>
      <c r="K29" s="201"/>
      <c r="L29" s="392" t="s">
        <v>108</v>
      </c>
      <c r="M29" s="385">
        <f>P29</f>
        <v>13114.3483715</v>
      </c>
      <c r="N29" s="385" t="s">
        <v>109</v>
      </c>
      <c r="O29" s="385">
        <v>1</v>
      </c>
      <c r="P29" s="385">
        <f>P33</f>
        <v>13114.3483715</v>
      </c>
      <c r="Q29" s="385" t="s">
        <v>6</v>
      </c>
      <c r="R29" s="28"/>
      <c r="S29" s="203"/>
      <c r="T29" s="242"/>
      <c r="U29" s="488"/>
      <c r="V29" s="488"/>
      <c r="W29" s="488"/>
      <c r="X29" s="488"/>
      <c r="Y29" s="488"/>
      <c r="Z29" s="490"/>
      <c r="AA29" s="203"/>
      <c r="AB29" s="488"/>
      <c r="AC29" s="488"/>
      <c r="AD29" s="488"/>
      <c r="AE29" s="28"/>
      <c r="AF29" s="30"/>
      <c r="AG29" s="203"/>
      <c r="AH29" s="203"/>
      <c r="AI29" s="203"/>
      <c r="AJ29" s="203"/>
      <c r="AK29" s="203"/>
      <c r="AL29" s="203"/>
      <c r="AM29" s="203"/>
      <c r="AN29" s="203"/>
      <c r="AO29" s="203"/>
      <c r="AP29" s="203"/>
    </row>
    <row r="30" spans="1:42">
      <c r="A30" s="333"/>
      <c r="B30" s="28"/>
      <c r="C30" s="327"/>
      <c r="D30" s="507"/>
      <c r="E30" s="506"/>
      <c r="F30" s="390" t="s">
        <v>18</v>
      </c>
      <c r="G30" s="390">
        <f>H30/E28</f>
        <v>3.903142437162116E-2</v>
      </c>
      <c r="H30" s="390">
        <f>H34</f>
        <v>45.535931845486111</v>
      </c>
      <c r="I30" s="390" t="s">
        <v>6</v>
      </c>
      <c r="J30" s="227"/>
      <c r="K30" s="201"/>
      <c r="L30" s="201"/>
      <c r="M30" s="201"/>
      <c r="N30" s="201"/>
      <c r="O30" s="201"/>
      <c r="P30" s="201"/>
      <c r="Q30" s="227"/>
      <c r="R30" s="203"/>
      <c r="S30" s="203"/>
      <c r="T30" s="203"/>
      <c r="U30" s="387"/>
      <c r="V30" s="488"/>
      <c r="W30" s="488"/>
      <c r="X30" s="488"/>
      <c r="Y30" s="488"/>
      <c r="Z30" s="389"/>
      <c r="AA30" s="203"/>
      <c r="AB30" s="203"/>
      <c r="AC30" s="203"/>
      <c r="AD30" s="203"/>
      <c r="AE30" s="28"/>
      <c r="AF30" s="30"/>
      <c r="AG30" s="203"/>
      <c r="AH30" s="203"/>
      <c r="AI30" s="203"/>
      <c r="AJ30" s="203"/>
      <c r="AK30" s="203"/>
      <c r="AL30" s="203"/>
      <c r="AM30" s="203"/>
      <c r="AN30" s="203"/>
      <c r="AO30" s="203"/>
      <c r="AP30" s="203"/>
    </row>
    <row r="31" spans="1:42" ht="14.45" customHeight="1">
      <c r="A31" s="333"/>
      <c r="B31" s="203"/>
      <c r="C31" s="227"/>
      <c r="D31" s="391" t="s">
        <v>110</v>
      </c>
      <c r="E31" s="288">
        <f>H31</f>
        <v>5932.1659750255749</v>
      </c>
      <c r="F31" s="390" t="s">
        <v>43</v>
      </c>
      <c r="G31" s="390">
        <f>H31/E31</f>
        <v>1</v>
      </c>
      <c r="H31" s="390">
        <f>((H28/B4)*B6)*'Tanque de Remojo'!D55</f>
        <v>5932.1659750255749</v>
      </c>
      <c r="I31" s="390" t="s">
        <v>6</v>
      </c>
      <c r="J31" s="227"/>
      <c r="K31" s="201"/>
      <c r="L31" s="474" t="s">
        <v>111</v>
      </c>
      <c r="M31" s="474"/>
      <c r="N31" s="474"/>
      <c r="O31" s="474"/>
      <c r="P31" s="474"/>
      <c r="Q31" s="474"/>
      <c r="R31" s="203"/>
      <c r="S31" s="203"/>
      <c r="T31" s="203"/>
      <c r="U31" s="488" t="s">
        <v>112</v>
      </c>
      <c r="V31" s="488" t="s">
        <v>113</v>
      </c>
      <c r="W31" s="488"/>
      <c r="X31" s="488"/>
      <c r="Y31" s="488"/>
      <c r="Z31" s="490" t="s">
        <v>114</v>
      </c>
      <c r="AA31" s="203"/>
      <c r="AB31" s="203"/>
      <c r="AC31" s="203"/>
      <c r="AD31" s="203"/>
      <c r="AE31" s="28"/>
      <c r="AF31" s="30"/>
      <c r="AG31" s="203"/>
      <c r="AH31" s="203"/>
      <c r="AI31" s="203"/>
      <c r="AJ31" s="203"/>
      <c r="AK31" s="203"/>
      <c r="AL31" s="203"/>
      <c r="AM31" s="203"/>
      <c r="AN31" s="203"/>
      <c r="AO31" s="203"/>
      <c r="AP31" s="203"/>
    </row>
    <row r="32" spans="1:42" s="203" customFormat="1" ht="27.75" customHeight="1">
      <c r="A32" s="333"/>
      <c r="C32" s="201"/>
      <c r="D32" s="287" t="s">
        <v>26</v>
      </c>
      <c r="E32" s="218" t="s">
        <v>46</v>
      </c>
      <c r="F32" s="217" t="s">
        <v>2</v>
      </c>
      <c r="G32" s="217" t="s">
        <v>28</v>
      </c>
      <c r="H32" s="217" t="s">
        <v>29</v>
      </c>
      <c r="I32" s="217" t="s">
        <v>4</v>
      </c>
      <c r="J32" s="227"/>
      <c r="K32" s="201"/>
      <c r="L32" s="225" t="s">
        <v>30</v>
      </c>
      <c r="M32" s="220" t="s">
        <v>27</v>
      </c>
      <c r="N32" s="220" t="s">
        <v>2</v>
      </c>
      <c r="O32" s="219" t="s">
        <v>31</v>
      </c>
      <c r="P32" s="220" t="s">
        <v>3</v>
      </c>
      <c r="Q32" s="220" t="s">
        <v>4</v>
      </c>
      <c r="U32" s="488"/>
      <c r="V32" s="488"/>
      <c r="W32" s="488"/>
      <c r="X32" s="488"/>
      <c r="Y32" s="488"/>
      <c r="Z32" s="490"/>
      <c r="AE32" s="28"/>
      <c r="AF32" s="30"/>
    </row>
    <row r="33" spans="1:42">
      <c r="A33" s="333"/>
      <c r="B33" s="28"/>
      <c r="C33" s="201"/>
      <c r="D33" s="507" t="s">
        <v>115</v>
      </c>
      <c r="E33" s="506">
        <f>SUM(H33:H35)</f>
        <v>1138.3982961371528</v>
      </c>
      <c r="F33" s="390" t="s">
        <v>5</v>
      </c>
      <c r="G33" s="390">
        <f>H33/E33</f>
        <v>0.88473599999999997</v>
      </c>
      <c r="H33" s="390">
        <f>H43</f>
        <v>1007.1819549311999</v>
      </c>
      <c r="I33" s="390" t="s">
        <v>6</v>
      </c>
      <c r="J33" s="227"/>
      <c r="K33" s="201"/>
      <c r="L33" s="392" t="s">
        <v>108</v>
      </c>
      <c r="M33" s="385">
        <f>P33</f>
        <v>13114.3483715</v>
      </c>
      <c r="N33" s="385" t="s">
        <v>116</v>
      </c>
      <c r="O33" s="385">
        <v>1</v>
      </c>
      <c r="P33" s="385">
        <f>P35</f>
        <v>13114.3483715</v>
      </c>
      <c r="Q33" s="385" t="s">
        <v>6</v>
      </c>
      <c r="R33" s="203"/>
      <c r="S33" s="203"/>
      <c r="T33" s="203"/>
      <c r="U33" s="488"/>
      <c r="V33" s="488"/>
      <c r="W33" s="488"/>
      <c r="X33" s="488"/>
      <c r="Y33" s="488"/>
      <c r="Z33" s="490"/>
      <c r="AA33" s="203"/>
      <c r="AB33" s="203"/>
      <c r="AC33" s="203"/>
      <c r="AD33" s="203"/>
      <c r="AE33" s="28"/>
      <c r="AF33" s="30"/>
      <c r="AG33" s="203"/>
      <c r="AH33" s="203"/>
      <c r="AI33" s="203"/>
      <c r="AJ33" s="203"/>
      <c r="AK33" s="203"/>
      <c r="AL33" s="203"/>
      <c r="AM33" s="203"/>
      <c r="AN33" s="203"/>
      <c r="AO33" s="203"/>
      <c r="AP33" s="203"/>
    </row>
    <row r="34" spans="1:42" ht="30">
      <c r="A34" s="333"/>
      <c r="B34" s="203"/>
      <c r="C34" s="227"/>
      <c r="D34" s="507"/>
      <c r="E34" s="506"/>
      <c r="F34" s="390" t="s">
        <v>18</v>
      </c>
      <c r="G34" s="390">
        <f>H34/E33</f>
        <v>0.04</v>
      </c>
      <c r="H34" s="390">
        <f>H42</f>
        <v>45.535931845486111</v>
      </c>
      <c r="I34" s="390" t="s">
        <v>6</v>
      </c>
      <c r="J34" s="227"/>
      <c r="K34" s="201"/>
      <c r="L34" s="225" t="s">
        <v>30</v>
      </c>
      <c r="M34" s="220" t="s">
        <v>46</v>
      </c>
      <c r="N34" s="220" t="s">
        <v>2</v>
      </c>
      <c r="O34" s="219" t="s">
        <v>31</v>
      </c>
      <c r="P34" s="219" t="s">
        <v>32</v>
      </c>
      <c r="Q34" s="220" t="s">
        <v>4</v>
      </c>
      <c r="R34" s="203"/>
      <c r="S34" s="203"/>
      <c r="T34" s="203"/>
      <c r="U34" s="488"/>
      <c r="V34" s="488"/>
      <c r="W34" s="488"/>
      <c r="X34" s="488"/>
      <c r="Y34" s="488"/>
      <c r="Z34" s="490"/>
      <c r="AA34" s="203"/>
      <c r="AB34" s="203"/>
      <c r="AC34" s="203"/>
      <c r="AD34" s="203"/>
      <c r="AE34" s="28"/>
      <c r="AF34" s="30"/>
      <c r="AG34" s="203"/>
      <c r="AH34" s="203"/>
      <c r="AI34" s="203"/>
      <c r="AJ34" s="203"/>
      <c r="AK34" s="203"/>
      <c r="AL34" s="203"/>
      <c r="AM34" s="203"/>
      <c r="AN34" s="203"/>
      <c r="AO34" s="203"/>
      <c r="AP34" s="203"/>
    </row>
    <row r="35" spans="1:42">
      <c r="A35" s="333"/>
      <c r="B35" s="203"/>
      <c r="C35" s="201"/>
      <c r="D35" s="507"/>
      <c r="E35" s="506"/>
      <c r="F35" s="390" t="s">
        <v>17</v>
      </c>
      <c r="G35" s="390">
        <f>1-G33-G34</f>
        <v>7.5264000000000025E-2</v>
      </c>
      <c r="H35" s="390">
        <f>H44</f>
        <v>85.680409360466669</v>
      </c>
      <c r="I35" s="390" t="s">
        <v>6</v>
      </c>
      <c r="J35" s="227"/>
      <c r="K35" s="201"/>
      <c r="L35" s="392" t="s">
        <v>117</v>
      </c>
      <c r="M35" s="385">
        <f>P35</f>
        <v>13114.3483715</v>
      </c>
      <c r="N35" s="385" t="s">
        <v>118</v>
      </c>
      <c r="O35" s="385">
        <v>1</v>
      </c>
      <c r="P35" s="385">
        <f>P41</f>
        <v>13114.3483715</v>
      </c>
      <c r="Q35" s="385" t="s">
        <v>6</v>
      </c>
      <c r="R35" s="203"/>
      <c r="S35" s="203"/>
      <c r="T35" s="203"/>
      <c r="U35" s="488" t="s">
        <v>119</v>
      </c>
      <c r="V35" s="488" t="s">
        <v>120</v>
      </c>
      <c r="W35" s="488"/>
      <c r="X35" s="488"/>
      <c r="Y35" s="488"/>
      <c r="Z35" s="490" t="s">
        <v>121</v>
      </c>
      <c r="AA35" s="203"/>
      <c r="AB35" s="203"/>
      <c r="AC35" s="203"/>
      <c r="AD35" s="203"/>
      <c r="AE35" s="28"/>
      <c r="AF35" s="30"/>
      <c r="AG35" s="203"/>
      <c r="AH35" s="203"/>
      <c r="AI35" s="203"/>
      <c r="AJ35" s="203"/>
      <c r="AK35" s="203"/>
      <c r="AL35" s="203"/>
      <c r="AM35" s="203"/>
      <c r="AN35" s="203"/>
      <c r="AO35" s="203"/>
      <c r="AP35" s="203"/>
    </row>
    <row r="36" spans="1:42" s="203" customFormat="1">
      <c r="C36" s="201"/>
      <c r="D36" s="507" t="s">
        <v>122</v>
      </c>
      <c r="E36" s="506">
        <f>H36+H38</f>
        <v>5960.4156446899015</v>
      </c>
      <c r="F36" s="512" t="s">
        <v>123</v>
      </c>
      <c r="G36" s="514">
        <f>H36/E36</f>
        <v>0.98675752753567303</v>
      </c>
      <c r="H36" s="514">
        <f>SUM(H28:H31)-SUM(H33:H35)-H38</f>
        <v>5881.4850046391521</v>
      </c>
      <c r="I36" s="390" t="s">
        <v>6</v>
      </c>
      <c r="J36" s="227"/>
      <c r="K36" s="201"/>
      <c r="L36" s="361"/>
      <c r="M36" s="362"/>
      <c r="N36" s="362"/>
      <c r="O36" s="362"/>
      <c r="P36" s="362"/>
      <c r="Q36" s="362"/>
      <c r="U36" s="488"/>
      <c r="V36" s="488"/>
      <c r="W36" s="488"/>
      <c r="X36" s="488"/>
      <c r="Y36" s="488"/>
      <c r="Z36" s="490"/>
      <c r="AE36" s="28"/>
      <c r="AF36" s="30"/>
    </row>
    <row r="37" spans="1:42">
      <c r="A37" s="203"/>
      <c r="B37" s="203"/>
      <c r="C37" s="201"/>
      <c r="D37" s="507"/>
      <c r="E37" s="506"/>
      <c r="F37" s="513"/>
      <c r="G37" s="515"/>
      <c r="H37" s="515"/>
      <c r="I37" s="390" t="s">
        <v>6</v>
      </c>
      <c r="J37" s="227"/>
      <c r="K37" s="201"/>
      <c r="L37" s="201"/>
      <c r="M37" s="201"/>
      <c r="N37" s="201"/>
      <c r="O37" s="201"/>
      <c r="P37" s="201"/>
      <c r="Q37" s="227"/>
      <c r="R37" s="203"/>
      <c r="S37" s="203"/>
      <c r="T37" s="203"/>
      <c r="U37" s="488"/>
      <c r="V37" s="488"/>
      <c r="W37" s="488"/>
      <c r="X37" s="488"/>
      <c r="Y37" s="488"/>
      <c r="Z37" s="490"/>
      <c r="AA37" s="203"/>
      <c r="AB37" s="203"/>
      <c r="AC37" s="203"/>
      <c r="AD37" s="203"/>
      <c r="AE37" s="28"/>
      <c r="AF37" s="30"/>
      <c r="AG37" s="203"/>
      <c r="AH37" s="203"/>
      <c r="AI37" s="203"/>
      <c r="AJ37" s="203"/>
      <c r="AK37" s="203"/>
      <c r="AL37" s="203"/>
      <c r="AM37" s="203"/>
      <c r="AN37" s="203"/>
      <c r="AO37" s="203"/>
      <c r="AP37" s="203"/>
    </row>
    <row r="38" spans="1:42">
      <c r="A38" s="203"/>
      <c r="B38" s="203"/>
      <c r="C38" s="201"/>
      <c r="D38" s="507"/>
      <c r="E38" s="506"/>
      <c r="F38" s="390" t="s">
        <v>21</v>
      </c>
      <c r="G38" s="390">
        <f>H38/E36</f>
        <v>1.3242472464326853E-2</v>
      </c>
      <c r="H38" s="390">
        <f>'Tanque de Remojo'!N32-'Tanque de Remojo'!N37</f>
        <v>78.930640050749005</v>
      </c>
      <c r="I38" s="390" t="s">
        <v>6</v>
      </c>
      <c r="J38" s="227"/>
      <c r="K38" s="227"/>
      <c r="L38" s="474" t="s">
        <v>124</v>
      </c>
      <c r="M38" s="474"/>
      <c r="N38" s="474"/>
      <c r="O38" s="474"/>
      <c r="P38" s="474"/>
      <c r="Q38" s="474"/>
      <c r="R38" s="28"/>
      <c r="S38" s="28"/>
      <c r="T38" s="28"/>
      <c r="U38" s="488"/>
      <c r="V38" s="488"/>
      <c r="W38" s="488"/>
      <c r="X38" s="488"/>
      <c r="Y38" s="488"/>
      <c r="Z38" s="490"/>
      <c r="AA38" s="203"/>
      <c r="AB38" s="203"/>
      <c r="AC38" s="203"/>
      <c r="AD38" s="203"/>
      <c r="AE38" s="28"/>
      <c r="AF38" s="30"/>
      <c r="AG38" s="203"/>
      <c r="AH38" s="203"/>
      <c r="AI38" s="203"/>
      <c r="AJ38" s="203"/>
      <c r="AK38" s="203"/>
      <c r="AL38" s="203"/>
      <c r="AM38" s="203"/>
      <c r="AN38" s="203"/>
      <c r="AO38" s="203"/>
      <c r="AP38" s="203"/>
    </row>
    <row r="39" spans="1:42" s="203" customFormat="1">
      <c r="C39" s="201"/>
      <c r="D39" s="201"/>
      <c r="E39" s="227"/>
      <c r="F39" s="227"/>
      <c r="G39" s="227"/>
      <c r="H39" s="227"/>
      <c r="I39" s="227"/>
      <c r="J39" s="227"/>
      <c r="K39" s="227"/>
      <c r="L39" s="384"/>
      <c r="M39" s="384"/>
      <c r="N39" s="384"/>
      <c r="O39" s="384"/>
      <c r="P39" s="384"/>
      <c r="Q39" s="384"/>
      <c r="R39" s="28"/>
      <c r="S39" s="28"/>
      <c r="T39" s="28"/>
      <c r="U39" s="387"/>
      <c r="V39" s="387"/>
      <c r="W39" s="387"/>
      <c r="X39" s="387"/>
      <c r="Y39" s="387"/>
      <c r="Z39" s="389"/>
      <c r="AE39" s="28"/>
      <c r="AF39" s="30"/>
    </row>
    <row r="40" spans="1:42" ht="30">
      <c r="A40" s="203"/>
      <c r="B40" s="203"/>
      <c r="C40" s="201"/>
      <c r="D40" s="511" t="s">
        <v>125</v>
      </c>
      <c r="E40" s="511"/>
      <c r="F40" s="511"/>
      <c r="G40" s="511"/>
      <c r="H40" s="511"/>
      <c r="I40" s="511"/>
      <c r="J40" s="227"/>
      <c r="K40" s="227"/>
      <c r="L40" s="225" t="s">
        <v>30</v>
      </c>
      <c r="M40" s="220" t="s">
        <v>27</v>
      </c>
      <c r="N40" s="220" t="s">
        <v>2</v>
      </c>
      <c r="O40" s="220" t="s">
        <v>126</v>
      </c>
      <c r="P40" s="220" t="s">
        <v>3</v>
      </c>
      <c r="Q40" s="220" t="s">
        <v>4</v>
      </c>
      <c r="R40" s="28"/>
      <c r="S40" s="28"/>
      <c r="T40" s="28"/>
      <c r="U40" s="488" t="s">
        <v>127</v>
      </c>
      <c r="V40" s="488" t="s">
        <v>128</v>
      </c>
      <c r="W40" s="488"/>
      <c r="X40" s="488"/>
      <c r="Y40" s="488"/>
      <c r="Z40" s="490" t="s">
        <v>94</v>
      </c>
      <c r="AA40" s="203"/>
      <c r="AB40" s="203"/>
      <c r="AC40" s="203"/>
      <c r="AD40" s="203"/>
      <c r="AE40" s="28"/>
      <c r="AF40" s="30"/>
      <c r="AG40" s="203"/>
      <c r="AH40" s="203"/>
      <c r="AI40" s="203"/>
      <c r="AJ40" s="203"/>
      <c r="AK40" s="203"/>
      <c r="AL40" s="203"/>
      <c r="AM40" s="203"/>
      <c r="AN40" s="203"/>
      <c r="AO40" s="203"/>
      <c r="AP40" s="203"/>
    </row>
    <row r="41" spans="1:42" ht="45">
      <c r="A41" s="203"/>
      <c r="B41" s="203"/>
      <c r="C41" s="201"/>
      <c r="D41" s="265" t="s">
        <v>26</v>
      </c>
      <c r="E41" s="300" t="s">
        <v>27</v>
      </c>
      <c r="F41" s="301" t="s">
        <v>2</v>
      </c>
      <c r="G41" s="301" t="s">
        <v>28</v>
      </c>
      <c r="H41" s="301" t="s">
        <v>29</v>
      </c>
      <c r="I41" s="301" t="s">
        <v>4</v>
      </c>
      <c r="J41" s="227"/>
      <c r="K41" s="227"/>
      <c r="L41" s="230" t="s">
        <v>117</v>
      </c>
      <c r="M41" s="385">
        <f>P41</f>
        <v>13114.3483715</v>
      </c>
      <c r="N41" s="385" t="s">
        <v>118</v>
      </c>
      <c r="O41" s="385">
        <v>1</v>
      </c>
      <c r="P41" s="385">
        <f>P43</f>
        <v>13114.3483715</v>
      </c>
      <c r="Q41" s="385" t="s">
        <v>6</v>
      </c>
      <c r="R41" s="28"/>
      <c r="S41" s="28"/>
      <c r="T41" s="28"/>
      <c r="U41" s="488"/>
      <c r="V41" s="488"/>
      <c r="W41" s="488"/>
      <c r="X41" s="488"/>
      <c r="Y41" s="488"/>
      <c r="Z41" s="490"/>
      <c r="AA41" s="203"/>
      <c r="AB41" s="203"/>
      <c r="AC41" s="203"/>
      <c r="AD41" s="203"/>
      <c r="AE41" s="28"/>
      <c r="AF41" s="30"/>
      <c r="AG41" s="203"/>
      <c r="AH41" s="203"/>
      <c r="AI41" s="203"/>
      <c r="AJ41" s="203"/>
      <c r="AK41" s="203"/>
      <c r="AL41" s="203"/>
      <c r="AM41" s="203"/>
      <c r="AN41" s="203"/>
      <c r="AO41" s="203"/>
      <c r="AP41" s="203"/>
    </row>
    <row r="42" spans="1:42" ht="30">
      <c r="A42" s="203"/>
      <c r="B42" s="203"/>
      <c r="C42" s="201"/>
      <c r="D42" s="508" t="s">
        <v>115</v>
      </c>
      <c r="E42" s="509">
        <f>SUM(H42:H44)</f>
        <v>1138.3982961371528</v>
      </c>
      <c r="F42" s="390" t="s">
        <v>18</v>
      </c>
      <c r="G42" s="390">
        <f>H42/E42</f>
        <v>0.04</v>
      </c>
      <c r="H42" s="390">
        <f>H46</f>
        <v>45.535931845486111</v>
      </c>
      <c r="I42" s="390" t="s">
        <v>6</v>
      </c>
      <c r="J42" s="227"/>
      <c r="K42" s="227"/>
      <c r="L42" s="225" t="s">
        <v>30</v>
      </c>
      <c r="M42" s="220" t="s">
        <v>46</v>
      </c>
      <c r="N42" s="220" t="s">
        <v>2</v>
      </c>
      <c r="O42" s="219" t="s">
        <v>31</v>
      </c>
      <c r="P42" s="219" t="s">
        <v>32</v>
      </c>
      <c r="Q42" s="220" t="s">
        <v>4</v>
      </c>
      <c r="R42" s="219" t="s">
        <v>32</v>
      </c>
      <c r="S42" s="220" t="s">
        <v>4</v>
      </c>
      <c r="T42" s="28"/>
      <c r="U42" s="488" t="s">
        <v>129</v>
      </c>
      <c r="V42" s="488" t="s">
        <v>128</v>
      </c>
      <c r="W42" s="488"/>
      <c r="X42" s="488"/>
      <c r="Y42" s="488"/>
      <c r="Z42" s="490" t="s">
        <v>94</v>
      </c>
      <c r="AA42" s="203"/>
      <c r="AB42" s="203"/>
      <c r="AC42" s="203"/>
      <c r="AD42" s="203"/>
      <c r="AE42" s="28"/>
      <c r="AF42" s="30"/>
      <c r="AG42" s="203"/>
      <c r="AH42" s="203"/>
      <c r="AI42" s="203"/>
      <c r="AJ42" s="203"/>
      <c r="AK42" s="203"/>
      <c r="AL42" s="203"/>
      <c r="AM42" s="203"/>
      <c r="AN42" s="203"/>
      <c r="AO42" s="203"/>
      <c r="AP42" s="203"/>
    </row>
    <row r="43" spans="1:42">
      <c r="A43" s="203"/>
      <c r="B43" s="203"/>
      <c r="C43" s="201"/>
      <c r="D43" s="508"/>
      <c r="E43" s="481"/>
      <c r="F43" s="390" t="s">
        <v>130</v>
      </c>
      <c r="G43" s="390">
        <f>H43/E42</f>
        <v>0.88473599999999997</v>
      </c>
      <c r="H43" s="390">
        <f>H47</f>
        <v>1007.1819549311999</v>
      </c>
      <c r="I43" s="390" t="s">
        <v>6</v>
      </c>
      <c r="J43" s="227"/>
      <c r="K43" s="227"/>
      <c r="L43" s="230" t="s">
        <v>131</v>
      </c>
      <c r="M43" s="385">
        <f>P43</f>
        <v>13114.3483715</v>
      </c>
      <c r="N43" s="231" t="s">
        <v>132</v>
      </c>
      <c r="O43" s="385">
        <v>1</v>
      </c>
      <c r="P43" s="385">
        <f>R43*B8/1000</f>
        <v>13114.3483715</v>
      </c>
      <c r="Q43" s="385" t="s">
        <v>6</v>
      </c>
      <c r="R43" s="385">
        <v>13210</v>
      </c>
      <c r="S43" s="385" t="s">
        <v>133</v>
      </c>
      <c r="T43" s="28"/>
      <c r="U43" s="488"/>
      <c r="V43" s="488"/>
      <c r="W43" s="488"/>
      <c r="X43" s="488"/>
      <c r="Y43" s="488"/>
      <c r="Z43" s="490"/>
      <c r="AA43" s="203"/>
      <c r="AB43" s="203"/>
      <c r="AC43" s="203"/>
      <c r="AD43" s="203"/>
      <c r="AE43" s="28"/>
      <c r="AF43" s="30"/>
      <c r="AG43" s="203"/>
      <c r="AH43" s="203"/>
      <c r="AI43" s="203"/>
      <c r="AJ43" s="203"/>
      <c r="AK43" s="203"/>
      <c r="AL43" s="203"/>
      <c r="AM43" s="203"/>
      <c r="AN43" s="203"/>
      <c r="AO43" s="203"/>
      <c r="AP43" s="203"/>
    </row>
    <row r="44" spans="1:42">
      <c r="A44" s="203"/>
      <c r="B44" s="203"/>
      <c r="C44" s="201"/>
      <c r="D44" s="508"/>
      <c r="E44" s="510"/>
      <c r="F44" s="390" t="s">
        <v>134</v>
      </c>
      <c r="G44" s="390">
        <f>H44/E42</f>
        <v>7.5263999999999998E-2</v>
      </c>
      <c r="H44" s="390">
        <f>H48</f>
        <v>85.680409360466669</v>
      </c>
      <c r="I44" s="390" t="s">
        <v>6</v>
      </c>
      <c r="J44" s="227"/>
      <c r="K44" s="227"/>
      <c r="L44" s="227"/>
      <c r="M44" s="227"/>
      <c r="N44" s="227"/>
      <c r="O44" s="227"/>
      <c r="P44" s="227"/>
      <c r="Q44" s="227"/>
      <c r="R44" s="28"/>
      <c r="S44" s="28"/>
      <c r="T44" s="28"/>
      <c r="U44" s="488"/>
      <c r="V44" s="488"/>
      <c r="W44" s="488"/>
      <c r="X44" s="488"/>
      <c r="Y44" s="488"/>
      <c r="Z44" s="490"/>
      <c r="AA44" s="203"/>
      <c r="AB44" s="203"/>
      <c r="AC44" s="203"/>
      <c r="AD44" s="203"/>
      <c r="AE44" s="28"/>
      <c r="AF44" s="30"/>
      <c r="AG44" s="203"/>
      <c r="AH44" s="203"/>
      <c r="AI44" s="203"/>
      <c r="AJ44" s="203"/>
      <c r="AK44" s="203"/>
      <c r="AL44" s="203"/>
      <c r="AM44" s="203"/>
      <c r="AN44" s="203"/>
      <c r="AO44" s="203"/>
      <c r="AP44" s="203"/>
    </row>
    <row r="45" spans="1:42" s="203" customFormat="1" ht="45">
      <c r="C45" s="201"/>
      <c r="D45" s="229" t="s">
        <v>135</v>
      </c>
      <c r="E45" s="221" t="s">
        <v>46</v>
      </c>
      <c r="F45" s="220" t="s">
        <v>2</v>
      </c>
      <c r="G45" s="220" t="s">
        <v>28</v>
      </c>
      <c r="H45" s="220" t="s">
        <v>29</v>
      </c>
      <c r="I45" s="220" t="s">
        <v>4</v>
      </c>
      <c r="J45" s="227"/>
      <c r="K45" s="227"/>
      <c r="L45" s="227"/>
      <c r="M45" s="227"/>
      <c r="N45" s="227"/>
      <c r="O45" s="227"/>
      <c r="P45" s="227"/>
      <c r="Q45" s="227"/>
      <c r="R45" s="28"/>
      <c r="S45" s="28"/>
      <c r="T45" s="28"/>
      <c r="U45" s="28"/>
      <c r="V45" s="28"/>
      <c r="W45" s="28"/>
      <c r="X45" s="28"/>
      <c r="Y45" s="28"/>
      <c r="Z45" s="28"/>
      <c r="AA45" s="28"/>
      <c r="AB45" s="28"/>
      <c r="AC45" s="28"/>
      <c r="AD45" s="28"/>
      <c r="AE45" s="28"/>
      <c r="AF45" s="30"/>
    </row>
    <row r="46" spans="1:42">
      <c r="A46" s="203"/>
      <c r="B46" s="203"/>
      <c r="C46" s="201"/>
      <c r="D46" s="392" t="s">
        <v>136</v>
      </c>
      <c r="E46" s="236">
        <f>H46</f>
        <v>45.535931845486111</v>
      </c>
      <c r="F46" s="390" t="s">
        <v>18</v>
      </c>
      <c r="G46" s="390">
        <f>E46/H46</f>
        <v>1</v>
      </c>
      <c r="H46" s="390">
        <f>E47*0.04/0.96</f>
        <v>45.535931845486111</v>
      </c>
      <c r="I46" s="390" t="s">
        <v>6</v>
      </c>
      <c r="J46" s="227"/>
      <c r="K46" s="227"/>
      <c r="L46" s="227"/>
      <c r="M46" s="227"/>
      <c r="N46" s="227"/>
      <c r="O46" s="227"/>
      <c r="P46" s="227"/>
      <c r="Q46" s="227"/>
      <c r="R46" s="28"/>
      <c r="S46" s="28"/>
      <c r="T46" s="28"/>
      <c r="U46" s="28"/>
      <c r="V46" s="28"/>
      <c r="W46" s="28"/>
      <c r="X46" s="28"/>
      <c r="Y46" s="28"/>
      <c r="Z46" s="28"/>
      <c r="AA46" s="28"/>
      <c r="AB46" s="28"/>
      <c r="AC46" s="28"/>
      <c r="AD46" s="28"/>
      <c r="AE46" s="28"/>
      <c r="AF46" s="30"/>
      <c r="AG46" s="203"/>
      <c r="AH46" s="203"/>
      <c r="AI46" s="203"/>
      <c r="AJ46" s="203"/>
      <c r="AK46" s="203"/>
      <c r="AL46" s="203"/>
      <c r="AM46" s="203"/>
      <c r="AN46" s="203"/>
      <c r="AO46" s="203"/>
      <c r="AP46" s="203"/>
    </row>
    <row r="47" spans="1:42">
      <c r="A47" s="203"/>
      <c r="B47" s="203"/>
      <c r="C47" s="201"/>
      <c r="D47" s="508" t="s">
        <v>137</v>
      </c>
      <c r="E47" s="480">
        <f>SUM(H47:H48)</f>
        <v>1092.8623642916666</v>
      </c>
      <c r="F47" s="390" t="s">
        <v>5</v>
      </c>
      <c r="G47" s="390">
        <f>H47/E47</f>
        <v>0.92159999999999997</v>
      </c>
      <c r="H47" s="390">
        <f>H52</f>
        <v>1007.1819549311999</v>
      </c>
      <c r="I47" s="390" t="s">
        <v>6</v>
      </c>
      <c r="J47" s="227"/>
      <c r="K47" s="227"/>
      <c r="L47" s="227"/>
      <c r="M47" s="227"/>
      <c r="N47" s="227"/>
      <c r="O47" s="227"/>
      <c r="P47" s="227"/>
      <c r="Q47" s="227"/>
      <c r="R47" s="28"/>
      <c r="S47" s="28"/>
      <c r="T47" s="28"/>
      <c r="U47" s="28"/>
      <c r="V47" s="28"/>
      <c r="W47" s="28"/>
      <c r="X47" s="28"/>
      <c r="Y47" s="28"/>
      <c r="Z47" s="28"/>
      <c r="AA47" s="28"/>
      <c r="AB47" s="28"/>
      <c r="AC47" s="28"/>
      <c r="AD47" s="28"/>
      <c r="AE47" s="28"/>
      <c r="AF47" s="30"/>
      <c r="AG47" s="203"/>
      <c r="AH47" s="203"/>
      <c r="AI47" s="203"/>
      <c r="AJ47" s="203"/>
      <c r="AK47" s="203"/>
      <c r="AL47" s="203"/>
      <c r="AM47" s="203"/>
      <c r="AN47" s="203"/>
      <c r="AO47" s="203"/>
      <c r="AP47" s="203"/>
    </row>
    <row r="48" spans="1:42">
      <c r="A48" s="203"/>
      <c r="B48" s="203"/>
      <c r="C48" s="201"/>
      <c r="D48" s="508"/>
      <c r="E48" s="482"/>
      <c r="F48" s="390" t="s">
        <v>134</v>
      </c>
      <c r="G48" s="390">
        <f>H48/E47</f>
        <v>7.8400000000000011E-2</v>
      </c>
      <c r="H48" s="390">
        <f>H53</f>
        <v>85.680409360466669</v>
      </c>
      <c r="I48" s="390" t="s">
        <v>6</v>
      </c>
      <c r="J48" s="227"/>
      <c r="K48" s="227"/>
      <c r="L48" s="227"/>
      <c r="M48" s="201"/>
      <c r="N48" s="201"/>
      <c r="O48" s="201"/>
      <c r="P48" s="201"/>
      <c r="Q48" s="201"/>
      <c r="R48" s="28"/>
      <c r="S48" s="28"/>
      <c r="T48" s="28"/>
      <c r="U48" s="28"/>
      <c r="V48" s="28"/>
      <c r="W48" s="30"/>
      <c r="X48" s="30"/>
      <c r="Y48" s="30"/>
      <c r="Z48" s="30"/>
      <c r="AA48" s="28"/>
      <c r="AB48" s="28"/>
      <c r="AC48" s="28"/>
      <c r="AD48" s="28"/>
      <c r="AE48" s="28"/>
      <c r="AF48" s="30"/>
      <c r="AG48" s="203"/>
      <c r="AH48" s="203"/>
      <c r="AI48" s="203"/>
      <c r="AJ48" s="203"/>
      <c r="AK48" s="203"/>
      <c r="AL48" s="203"/>
      <c r="AM48" s="203"/>
      <c r="AN48" s="203"/>
      <c r="AO48" s="203"/>
      <c r="AP48" s="203"/>
    </row>
    <row r="49" spans="1:42">
      <c r="A49" s="203"/>
      <c r="B49" s="203"/>
      <c r="C49" s="201"/>
      <c r="D49" s="201"/>
      <c r="E49" s="227"/>
      <c r="F49" s="227"/>
      <c r="G49" s="227"/>
      <c r="H49" s="227"/>
      <c r="I49" s="227"/>
      <c r="J49" s="227"/>
      <c r="K49" s="227"/>
      <c r="L49" s="227"/>
      <c r="M49" s="227"/>
      <c r="N49" s="201"/>
      <c r="O49" s="201"/>
      <c r="P49" s="201"/>
      <c r="Q49" s="201"/>
      <c r="R49" s="28"/>
      <c r="S49" s="28"/>
      <c r="T49" s="28"/>
      <c r="U49" s="28"/>
      <c r="V49" s="28"/>
      <c r="W49" s="30"/>
      <c r="X49" s="30"/>
      <c r="Y49" s="30"/>
      <c r="Z49" s="30"/>
      <c r="AA49" s="28"/>
      <c r="AB49" s="28"/>
      <c r="AC49" s="28"/>
      <c r="AD49" s="28"/>
      <c r="AE49" s="28"/>
      <c r="AF49" s="30"/>
      <c r="AG49" s="203"/>
      <c r="AH49" s="203"/>
      <c r="AI49" s="203"/>
      <c r="AJ49" s="203"/>
      <c r="AK49" s="203"/>
      <c r="AL49" s="203"/>
      <c r="AM49" s="203"/>
      <c r="AN49" s="203"/>
      <c r="AO49" s="203"/>
      <c r="AP49" s="203"/>
    </row>
    <row r="50" spans="1:42">
      <c r="A50" s="203"/>
      <c r="B50" s="203"/>
      <c r="C50" s="201"/>
      <c r="D50" s="503" t="s">
        <v>138</v>
      </c>
      <c r="E50" s="504"/>
      <c r="F50" s="504"/>
      <c r="G50" s="504"/>
      <c r="H50" s="504"/>
      <c r="I50" s="505"/>
      <c r="J50" s="237"/>
      <c r="K50" s="237"/>
      <c r="L50" s="237"/>
      <c r="M50" s="201"/>
      <c r="N50" s="201"/>
      <c r="O50" s="201"/>
      <c r="P50" s="201"/>
      <c r="Q50" s="201"/>
      <c r="R50" s="30"/>
      <c r="S50" s="30"/>
      <c r="T50" s="30"/>
      <c r="U50" s="30"/>
      <c r="V50" s="30"/>
      <c r="W50" s="30"/>
      <c r="X50" s="30"/>
      <c r="Y50" s="30"/>
      <c r="Z50" s="30"/>
      <c r="AA50" s="30"/>
      <c r="AB50" s="30"/>
      <c r="AC50" s="30"/>
      <c r="AD50" s="30"/>
      <c r="AE50" s="30"/>
      <c r="AF50" s="30"/>
      <c r="AG50" s="203"/>
      <c r="AH50" s="203"/>
      <c r="AI50" s="203"/>
      <c r="AJ50" s="203"/>
      <c r="AK50" s="203"/>
      <c r="AL50" s="203"/>
      <c r="AM50" s="203"/>
      <c r="AN50" s="203"/>
      <c r="AO50" s="203"/>
      <c r="AP50" s="203"/>
    </row>
    <row r="51" spans="1:42" ht="45">
      <c r="A51" s="203"/>
      <c r="B51" s="203"/>
      <c r="C51" s="201"/>
      <c r="D51" s="229" t="s">
        <v>26</v>
      </c>
      <c r="E51" s="219" t="s">
        <v>27</v>
      </c>
      <c r="F51" s="220" t="s">
        <v>2</v>
      </c>
      <c r="G51" s="220" t="s">
        <v>28</v>
      </c>
      <c r="H51" s="220" t="s">
        <v>29</v>
      </c>
      <c r="I51" s="220" t="s">
        <v>4</v>
      </c>
      <c r="J51" s="237"/>
      <c r="K51" s="237"/>
      <c r="L51" s="237"/>
      <c r="M51" s="201"/>
      <c r="N51" s="201"/>
      <c r="O51" s="201"/>
      <c r="P51" s="201"/>
      <c r="Q51" s="201"/>
      <c r="R51" s="30"/>
      <c r="S51" s="30"/>
      <c r="T51" s="30"/>
      <c r="U51" s="30"/>
      <c r="V51" s="30"/>
      <c r="W51" s="203"/>
      <c r="X51" s="203"/>
      <c r="Y51" s="203"/>
      <c r="Z51" s="203"/>
      <c r="AA51" s="30"/>
      <c r="AB51" s="30"/>
      <c r="AC51" s="30"/>
      <c r="AD51" s="30"/>
      <c r="AE51" s="30"/>
      <c r="AF51" s="30"/>
      <c r="AG51" s="203"/>
      <c r="AH51" s="203"/>
      <c r="AI51" s="203"/>
      <c r="AJ51" s="203"/>
      <c r="AK51" s="203"/>
      <c r="AL51" s="203"/>
      <c r="AM51" s="203"/>
      <c r="AN51" s="203"/>
      <c r="AO51" s="203"/>
      <c r="AP51" s="203"/>
    </row>
    <row r="52" spans="1:42">
      <c r="A52" s="203"/>
      <c r="B52" s="203"/>
      <c r="C52" s="201"/>
      <c r="D52" s="499" t="s">
        <v>137</v>
      </c>
      <c r="E52" s="501">
        <f>SUM(H52:H53)</f>
        <v>1092.8623642916666</v>
      </c>
      <c r="F52" s="385" t="s">
        <v>5</v>
      </c>
      <c r="G52" s="243">
        <f>H52/E52</f>
        <v>0.92159999999999997</v>
      </c>
      <c r="H52" s="385">
        <f>H56</f>
        <v>1007.1819549311999</v>
      </c>
      <c r="I52" s="385" t="s">
        <v>6</v>
      </c>
      <c r="J52" s="228"/>
      <c r="K52" s="237"/>
      <c r="L52" s="237"/>
      <c r="M52" s="201"/>
      <c r="N52" s="201"/>
      <c r="O52" s="201"/>
      <c r="P52" s="201"/>
      <c r="Q52" s="201"/>
      <c r="R52" s="30"/>
      <c r="S52" s="30"/>
      <c r="T52" s="30"/>
      <c r="U52" s="30"/>
      <c r="V52" s="30"/>
      <c r="W52" s="203"/>
      <c r="X52" s="203"/>
      <c r="Y52" s="203"/>
      <c r="Z52" s="203"/>
      <c r="AA52" s="30"/>
      <c r="AB52" s="30"/>
      <c r="AC52" s="30"/>
      <c r="AD52" s="30"/>
      <c r="AE52" s="30"/>
      <c r="AF52" s="30"/>
      <c r="AG52" s="203"/>
      <c r="AH52" s="203"/>
      <c r="AI52" s="203"/>
      <c r="AJ52" s="203"/>
      <c r="AK52" s="203"/>
      <c r="AL52" s="203"/>
      <c r="AM52" s="203"/>
      <c r="AN52" s="203"/>
      <c r="AO52" s="203"/>
      <c r="AP52" s="203"/>
    </row>
    <row r="53" spans="1:42">
      <c r="A53" s="203"/>
      <c r="B53" s="203"/>
      <c r="C53" s="201"/>
      <c r="D53" s="500"/>
      <c r="E53" s="502"/>
      <c r="F53" s="385" t="s">
        <v>134</v>
      </c>
      <c r="G53" s="243">
        <f>H53/E52</f>
        <v>7.8400000000000011E-2</v>
      </c>
      <c r="H53" s="385">
        <f>SUM(H57+H55)</f>
        <v>85.680409360466669</v>
      </c>
      <c r="I53" s="385" t="s">
        <v>6</v>
      </c>
      <c r="J53" s="201"/>
      <c r="K53" s="201"/>
      <c r="L53" s="201"/>
      <c r="M53" s="201"/>
      <c r="N53" s="201"/>
      <c r="O53" s="201"/>
      <c r="P53" s="201"/>
      <c r="Q53" s="201"/>
      <c r="R53" s="203"/>
      <c r="S53" s="203"/>
      <c r="T53" s="203"/>
      <c r="U53" s="203"/>
      <c r="V53" s="203"/>
      <c r="W53" s="203"/>
      <c r="X53" s="203"/>
      <c r="Y53" s="203"/>
      <c r="Z53" s="203"/>
      <c r="AA53" s="203"/>
      <c r="AB53" s="203"/>
      <c r="AC53" s="203"/>
      <c r="AD53" s="203"/>
      <c r="AE53" s="203"/>
      <c r="AF53" s="203"/>
      <c r="AG53" s="203"/>
      <c r="AH53" s="203"/>
      <c r="AI53" s="203"/>
      <c r="AJ53" s="203"/>
      <c r="AK53" s="203"/>
      <c r="AL53" s="203"/>
      <c r="AM53" s="203"/>
      <c r="AN53" s="203"/>
      <c r="AO53" s="203"/>
      <c r="AP53" s="203"/>
    </row>
    <row r="54" spans="1:42" ht="45">
      <c r="A54" s="203"/>
      <c r="B54" s="203"/>
      <c r="C54" s="201"/>
      <c r="D54" s="229" t="s">
        <v>26</v>
      </c>
      <c r="E54" s="219" t="s">
        <v>46</v>
      </c>
      <c r="F54" s="220" t="s">
        <v>2</v>
      </c>
      <c r="G54" s="220" t="s">
        <v>28</v>
      </c>
      <c r="H54" s="220" t="s">
        <v>29</v>
      </c>
      <c r="I54" s="220" t="s">
        <v>4</v>
      </c>
      <c r="J54" s="201"/>
      <c r="K54" s="201"/>
      <c r="L54" s="201"/>
      <c r="M54" s="201"/>
      <c r="N54" s="201"/>
      <c r="O54" s="201"/>
      <c r="P54" s="201"/>
      <c r="Q54" s="201"/>
      <c r="R54" s="203"/>
      <c r="S54" s="203"/>
      <c r="T54" s="203"/>
      <c r="U54" s="203"/>
      <c r="V54" s="203"/>
      <c r="W54" s="203"/>
      <c r="X54" s="203"/>
      <c r="Y54" s="203"/>
      <c r="Z54" s="203"/>
      <c r="AA54" s="203"/>
      <c r="AB54" s="203"/>
      <c r="AC54" s="203"/>
      <c r="AD54" s="203"/>
      <c r="AE54" s="203"/>
      <c r="AF54" s="203"/>
      <c r="AG54" s="203"/>
      <c r="AH54" s="203"/>
      <c r="AI54" s="203"/>
      <c r="AJ54" s="203"/>
      <c r="AK54" s="203"/>
      <c r="AL54" s="203"/>
      <c r="AM54" s="203"/>
      <c r="AN54" s="203"/>
      <c r="AO54" s="203"/>
      <c r="AP54" s="203"/>
    </row>
    <row r="55" spans="1:42" s="203" customFormat="1" ht="30">
      <c r="C55" s="201"/>
      <c r="D55" s="392" t="s">
        <v>139</v>
      </c>
      <c r="E55" s="385">
        <f>H55</f>
        <v>43.71449457166667</v>
      </c>
      <c r="F55" s="231" t="s">
        <v>140</v>
      </c>
      <c r="G55" s="385">
        <v>1</v>
      </c>
      <c r="H55" s="385">
        <f>(H57+H56)*0.04/0.96</f>
        <v>43.71449457166667</v>
      </c>
      <c r="I55" s="385" t="s">
        <v>6</v>
      </c>
      <c r="J55" s="227"/>
      <c r="K55" s="201"/>
      <c r="L55" s="201"/>
      <c r="M55" s="201"/>
      <c r="N55" s="201"/>
      <c r="O55" s="201"/>
      <c r="P55" s="201"/>
      <c r="Q55" s="201"/>
    </row>
    <row r="56" spans="1:42">
      <c r="A56" s="203"/>
      <c r="B56" s="203"/>
      <c r="C56" s="201"/>
      <c r="D56" s="499" t="s">
        <v>37</v>
      </c>
      <c r="E56" s="501">
        <f>SUM(H56:H57)</f>
        <v>1049.14786972</v>
      </c>
      <c r="F56" s="231" t="s">
        <v>5</v>
      </c>
      <c r="G56" s="385">
        <f>H56/E56</f>
        <v>0.96</v>
      </c>
      <c r="H56" s="385">
        <f>P3</f>
        <v>1007.1819549311999</v>
      </c>
      <c r="I56" s="385" t="s">
        <v>6</v>
      </c>
      <c r="J56" s="201"/>
      <c r="K56" s="201"/>
      <c r="L56" s="201"/>
      <c r="M56" s="201"/>
      <c r="N56" s="201"/>
      <c r="O56" s="201"/>
      <c r="P56" s="201"/>
      <c r="Q56" s="201"/>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3"/>
    </row>
    <row r="57" spans="1:42">
      <c r="A57" s="203"/>
      <c r="B57" s="203"/>
      <c r="C57" s="201"/>
      <c r="D57" s="500"/>
      <c r="E57" s="502"/>
      <c r="F57" s="231" t="s">
        <v>17</v>
      </c>
      <c r="G57" s="385">
        <f>H57/E56</f>
        <v>0.04</v>
      </c>
      <c r="H57" s="385">
        <f>P4</f>
        <v>41.965914788799999</v>
      </c>
      <c r="I57" s="385" t="s">
        <v>6</v>
      </c>
      <c r="J57" s="201"/>
      <c r="K57" s="201"/>
      <c r="L57" s="201"/>
      <c r="M57" s="201"/>
      <c r="N57" s="201"/>
      <c r="O57" s="201"/>
      <c r="P57" s="201"/>
      <c r="Q57" s="201"/>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c r="A58" s="203"/>
      <c r="B58" s="203"/>
      <c r="C58" s="201"/>
      <c r="D58" s="201"/>
      <c r="E58" s="201"/>
      <c r="F58" s="201"/>
      <c r="G58" s="201"/>
      <c r="H58" s="201"/>
      <c r="I58" s="201"/>
      <c r="J58" s="201"/>
      <c r="K58" s="201"/>
      <c r="L58" s="201"/>
      <c r="M58" s="201"/>
      <c r="N58" s="201"/>
      <c r="O58" s="201"/>
      <c r="P58" s="201"/>
      <c r="Q58" s="201"/>
      <c r="R58" s="203"/>
      <c r="S58" s="203"/>
      <c r="T58" s="203"/>
      <c r="U58" s="203"/>
      <c r="V58" s="203"/>
      <c r="W58" s="203"/>
      <c r="X58" s="203"/>
      <c r="Y58" s="203"/>
      <c r="Z58" s="203"/>
      <c r="AA58" s="203"/>
      <c r="AB58" s="203"/>
      <c r="AC58" s="203"/>
      <c r="AD58" s="203"/>
      <c r="AE58" s="203"/>
      <c r="AF58" s="203"/>
      <c r="AG58" s="203"/>
      <c r="AH58" s="203"/>
      <c r="AI58" s="203"/>
      <c r="AJ58" s="203"/>
      <c r="AK58" s="203"/>
      <c r="AL58" s="203"/>
      <c r="AM58" s="203"/>
      <c r="AN58" s="203"/>
      <c r="AO58" s="203"/>
      <c r="AP58" s="203"/>
    </row>
    <row r="59" spans="1:42">
      <c r="A59" s="336"/>
      <c r="B59" s="336"/>
      <c r="C59" s="336"/>
      <c r="D59" s="336"/>
      <c r="E59" s="336"/>
      <c r="F59" s="336"/>
      <c r="G59" s="336"/>
      <c r="H59" s="336"/>
      <c r="I59" s="336"/>
      <c r="J59" s="336"/>
      <c r="K59" s="201"/>
      <c r="L59" s="201"/>
      <c r="M59" s="201"/>
      <c r="N59" s="201"/>
      <c r="O59" s="201"/>
      <c r="P59" s="201"/>
      <c r="Q59" s="201"/>
      <c r="R59" s="203"/>
      <c r="S59" s="203"/>
      <c r="T59" s="203"/>
      <c r="U59" s="203"/>
      <c r="V59" s="203"/>
      <c r="W59" s="203"/>
      <c r="X59" s="203"/>
      <c r="Y59" s="203"/>
      <c r="Z59" s="203"/>
      <c r="AA59" s="203"/>
      <c r="AB59" s="203"/>
      <c r="AC59" s="203"/>
      <c r="AD59" s="203"/>
      <c r="AE59" s="203"/>
      <c r="AF59" s="203"/>
      <c r="AG59" s="203"/>
      <c r="AH59" s="203"/>
      <c r="AI59" s="203"/>
      <c r="AJ59" s="203"/>
      <c r="AK59" s="203"/>
      <c r="AL59" s="203"/>
      <c r="AM59" s="203"/>
      <c r="AN59" s="203"/>
      <c r="AO59" s="203"/>
      <c r="AP59" s="203"/>
    </row>
    <row r="60" spans="1:42" ht="14.45" customHeight="1">
      <c r="A60" s="336"/>
      <c r="B60" s="336"/>
      <c r="C60" s="336"/>
      <c r="D60" s="336"/>
      <c r="E60" s="336"/>
      <c r="F60" s="336"/>
      <c r="G60" s="336"/>
      <c r="H60" s="336"/>
      <c r="I60" s="336"/>
      <c r="J60" s="336"/>
      <c r="K60" s="203"/>
      <c r="M60" s="203"/>
      <c r="N60" s="203"/>
      <c r="P60" s="203"/>
      <c r="Q60" s="203"/>
      <c r="R60" s="203"/>
      <c r="S60" s="203"/>
      <c r="T60" s="203"/>
      <c r="U60" s="203"/>
      <c r="V60" s="203"/>
      <c r="W60" s="203"/>
      <c r="X60" s="203"/>
      <c r="Y60" s="203"/>
      <c r="Z60" s="203"/>
      <c r="AA60" s="203"/>
      <c r="AB60" s="203"/>
      <c r="AC60" s="203"/>
      <c r="AD60" s="203"/>
      <c r="AE60" s="203"/>
      <c r="AF60" s="203"/>
      <c r="AG60" s="203"/>
      <c r="AH60" s="203"/>
      <c r="AI60" s="203"/>
      <c r="AJ60" s="203"/>
      <c r="AK60" s="203"/>
      <c r="AL60" s="203"/>
      <c r="AM60" s="203"/>
      <c r="AN60" s="203"/>
      <c r="AO60" s="203"/>
      <c r="AP60" s="203"/>
    </row>
    <row r="61" spans="1:42">
      <c r="A61" s="336"/>
      <c r="B61" s="336"/>
      <c r="C61" s="336"/>
      <c r="D61" s="336"/>
      <c r="E61" s="336"/>
      <c r="F61" s="336"/>
      <c r="G61" s="336"/>
      <c r="H61" s="336"/>
      <c r="I61" s="336"/>
      <c r="J61" s="336"/>
      <c r="K61" s="203"/>
      <c r="M61" s="203"/>
      <c r="N61" s="203"/>
      <c r="P61" s="203"/>
      <c r="Q61" s="203"/>
      <c r="R61" s="203"/>
      <c r="S61" s="203"/>
      <c r="T61" s="203"/>
      <c r="U61" s="203"/>
      <c r="V61" s="203"/>
      <c r="W61" s="203"/>
      <c r="X61" s="203"/>
      <c r="Y61" s="203"/>
      <c r="Z61" s="203"/>
      <c r="AA61" s="203"/>
      <c r="AB61" s="203"/>
      <c r="AC61" s="203"/>
      <c r="AD61" s="203"/>
      <c r="AE61" s="203"/>
      <c r="AF61" s="203"/>
      <c r="AG61" s="203"/>
      <c r="AH61" s="203"/>
      <c r="AI61" s="203"/>
      <c r="AJ61" s="203"/>
      <c r="AK61" s="203"/>
      <c r="AL61" s="203"/>
      <c r="AM61" s="203"/>
      <c r="AN61" s="203"/>
      <c r="AO61" s="203"/>
      <c r="AP61" s="203"/>
    </row>
    <row r="62" spans="1:42">
      <c r="A62" s="336"/>
      <c r="B62" s="336"/>
      <c r="C62" s="336"/>
      <c r="D62" s="336"/>
      <c r="E62" s="336"/>
      <c r="F62" s="336"/>
      <c r="G62" s="336"/>
      <c r="H62" s="336"/>
      <c r="I62" s="336"/>
      <c r="J62" s="336"/>
      <c r="K62" s="203"/>
      <c r="M62" s="203"/>
      <c r="N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03"/>
      <c r="AL62" s="203"/>
      <c r="AM62" s="203"/>
      <c r="AN62" s="203"/>
      <c r="AO62" s="203"/>
      <c r="AP62" s="203"/>
    </row>
    <row r="63" spans="1:42" ht="14.45" customHeight="1">
      <c r="A63" s="336"/>
      <c r="B63" s="336"/>
      <c r="C63" s="336"/>
      <c r="D63" s="336"/>
      <c r="E63" s="336"/>
      <c r="F63" s="336"/>
      <c r="G63" s="336"/>
      <c r="H63" s="336"/>
      <c r="I63" s="336"/>
      <c r="J63" s="336"/>
      <c r="K63" s="203"/>
      <c r="M63" s="203"/>
      <c r="N63" s="203"/>
      <c r="P63" s="203"/>
      <c r="Q63" s="203"/>
      <c r="R63" s="203"/>
      <c r="S63" s="203"/>
      <c r="T63" s="203"/>
      <c r="U63" s="203"/>
      <c r="V63" s="203"/>
      <c r="W63" s="203"/>
      <c r="X63" s="203"/>
      <c r="Y63" s="203"/>
      <c r="Z63" s="203"/>
      <c r="AA63" s="203"/>
      <c r="AB63" s="203"/>
      <c r="AC63" s="203"/>
      <c r="AD63" s="203"/>
      <c r="AE63" s="203"/>
      <c r="AF63" s="203"/>
      <c r="AG63" s="203"/>
      <c r="AH63" s="203"/>
      <c r="AI63" s="203"/>
      <c r="AJ63" s="203"/>
      <c r="AK63" s="203"/>
      <c r="AL63" s="203"/>
      <c r="AM63" s="203"/>
      <c r="AN63" s="203"/>
      <c r="AO63" s="203"/>
      <c r="AP63" s="203"/>
    </row>
    <row r="64" spans="1:42">
      <c r="A64" s="336"/>
      <c r="B64" s="336"/>
      <c r="C64" s="336"/>
      <c r="D64" s="336"/>
      <c r="E64" s="336"/>
      <c r="F64" s="336"/>
      <c r="G64" s="336"/>
      <c r="H64" s="336"/>
      <c r="I64" s="336"/>
      <c r="J64" s="336"/>
      <c r="K64" s="203"/>
      <c r="M64" s="203"/>
      <c r="N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03"/>
      <c r="AL64" s="203"/>
      <c r="AM64" s="203"/>
      <c r="AN64" s="203"/>
      <c r="AO64" s="203"/>
      <c r="AP64" s="203"/>
    </row>
    <row r="65" spans="1:42">
      <c r="A65" s="336"/>
      <c r="B65" s="336"/>
      <c r="C65" s="336"/>
      <c r="D65" s="336"/>
      <c r="E65" s="336"/>
      <c r="F65" s="336"/>
      <c r="G65" s="336"/>
      <c r="H65" s="336"/>
      <c r="I65" s="336"/>
      <c r="J65" s="336"/>
      <c r="K65" s="203"/>
      <c r="M65" s="203"/>
      <c r="N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c r="AN65" s="203"/>
      <c r="AO65" s="203"/>
      <c r="AP65" s="203"/>
    </row>
    <row r="66" spans="1:42">
      <c r="A66" s="336"/>
      <c r="B66" s="336"/>
      <c r="C66" s="336"/>
      <c r="D66" s="336"/>
      <c r="E66" s="336"/>
      <c r="F66" s="336"/>
      <c r="G66" s="336"/>
      <c r="H66" s="336"/>
      <c r="I66" s="336"/>
      <c r="J66" s="336"/>
      <c r="K66" s="203"/>
      <c r="M66" s="203"/>
      <c r="N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M66" s="203"/>
      <c r="AN66" s="203"/>
      <c r="AO66" s="203"/>
      <c r="AP66" s="203"/>
    </row>
    <row r="67" spans="1:42">
      <c r="A67" s="336"/>
      <c r="B67" s="336"/>
      <c r="C67" s="336"/>
      <c r="D67" s="336"/>
      <c r="E67" s="336"/>
      <c r="F67" s="336"/>
      <c r="G67" s="336"/>
      <c r="H67" s="336"/>
      <c r="I67" s="336"/>
      <c r="J67" s="336"/>
      <c r="K67" s="203"/>
      <c r="M67" s="203"/>
      <c r="N67" s="203"/>
      <c r="P67" s="203"/>
      <c r="Q67" s="203"/>
      <c r="R67" s="203"/>
      <c r="S67" s="203"/>
      <c r="T67" s="203"/>
      <c r="U67" s="203"/>
      <c r="V67" s="203"/>
      <c r="W67" s="203"/>
      <c r="X67" s="203"/>
      <c r="Y67" s="203"/>
      <c r="Z67" s="203"/>
      <c r="AA67" s="203"/>
      <c r="AB67" s="203"/>
      <c r="AC67" s="203"/>
      <c r="AD67" s="203"/>
      <c r="AE67" s="203"/>
      <c r="AF67" s="203"/>
      <c r="AG67" s="203"/>
      <c r="AH67" s="203"/>
      <c r="AI67" s="203"/>
      <c r="AJ67" s="203"/>
      <c r="AK67" s="203"/>
      <c r="AL67" s="203"/>
      <c r="AM67" s="203"/>
      <c r="AN67" s="203"/>
      <c r="AO67" s="203"/>
      <c r="AP67" s="203"/>
    </row>
    <row r="68" spans="1:42">
      <c r="A68" s="336"/>
      <c r="B68" s="336"/>
      <c r="C68" s="336"/>
      <c r="D68" s="336"/>
      <c r="E68" s="336"/>
      <c r="F68" s="336"/>
      <c r="G68" s="336"/>
      <c r="H68" s="336"/>
      <c r="I68" s="336"/>
      <c r="J68" s="336"/>
      <c r="K68" s="203"/>
      <c r="M68" s="203"/>
      <c r="N68" s="203"/>
      <c r="P68" s="203"/>
      <c r="Q68" s="203"/>
      <c r="R68" s="203"/>
      <c r="S68" s="203"/>
      <c r="T68" s="203"/>
      <c r="U68" s="203"/>
      <c r="V68" s="203"/>
      <c r="W68" s="203"/>
      <c r="X68" s="203"/>
      <c r="Y68" s="203"/>
      <c r="Z68" s="203"/>
      <c r="AA68" s="203"/>
      <c r="AB68" s="203"/>
      <c r="AC68" s="203"/>
      <c r="AD68" s="203"/>
      <c r="AE68" s="203"/>
      <c r="AF68" s="203"/>
      <c r="AG68" s="203"/>
      <c r="AH68" s="203"/>
      <c r="AI68" s="203"/>
      <c r="AJ68" s="203"/>
      <c r="AK68" s="203"/>
      <c r="AL68" s="203"/>
      <c r="AM68" s="203"/>
      <c r="AN68" s="203"/>
      <c r="AO68" s="203"/>
      <c r="AP68" s="203"/>
    </row>
    <row r="69" spans="1:42">
      <c r="A69" s="336"/>
      <c r="B69" s="336"/>
      <c r="C69" s="336"/>
      <c r="D69" s="336"/>
      <c r="E69" s="336"/>
      <c r="F69" s="336"/>
      <c r="G69" s="336"/>
      <c r="H69" s="336"/>
      <c r="I69" s="336"/>
      <c r="J69" s="336"/>
      <c r="K69" s="203"/>
      <c r="M69" s="203"/>
      <c r="N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03"/>
      <c r="AL69" s="203"/>
      <c r="AM69" s="203"/>
      <c r="AN69" s="203"/>
      <c r="AO69" s="203"/>
      <c r="AP69" s="203"/>
    </row>
    <row r="70" spans="1:42">
      <c r="A70" s="336"/>
      <c r="B70" s="336"/>
      <c r="C70" s="336"/>
      <c r="D70" s="336"/>
      <c r="E70" s="336"/>
      <c r="F70" s="336"/>
      <c r="G70" s="336"/>
      <c r="H70" s="336"/>
      <c r="I70" s="336"/>
      <c r="J70" s="336"/>
      <c r="K70" s="203"/>
      <c r="M70" s="203"/>
      <c r="N70" s="203"/>
      <c r="P70" s="203"/>
      <c r="Q70" s="203"/>
      <c r="R70" s="203"/>
      <c r="S70" s="203"/>
      <c r="T70" s="203"/>
      <c r="U70" s="203"/>
      <c r="V70" s="203"/>
      <c r="W70" s="203"/>
      <c r="X70" s="203"/>
      <c r="Y70" s="203"/>
      <c r="Z70" s="203"/>
      <c r="AA70" s="203"/>
      <c r="AB70" s="203"/>
      <c r="AC70" s="203"/>
      <c r="AD70" s="203"/>
      <c r="AE70" s="203"/>
      <c r="AF70" s="203"/>
      <c r="AG70" s="203"/>
      <c r="AH70" s="203"/>
      <c r="AI70" s="203"/>
      <c r="AJ70" s="203"/>
      <c r="AK70" s="203"/>
      <c r="AL70" s="203"/>
      <c r="AM70" s="203"/>
      <c r="AN70" s="203"/>
      <c r="AO70" s="203"/>
      <c r="AP70" s="203"/>
    </row>
    <row r="71" spans="1:42">
      <c r="A71" s="336"/>
      <c r="B71" s="336"/>
      <c r="C71" s="336"/>
      <c r="D71" s="336"/>
      <c r="E71" s="336"/>
      <c r="F71" s="336"/>
      <c r="G71" s="336"/>
      <c r="H71" s="336"/>
      <c r="I71" s="336"/>
      <c r="J71" s="336"/>
      <c r="K71" s="203"/>
      <c r="M71" s="203"/>
      <c r="N71" s="203"/>
      <c r="P71" s="203"/>
      <c r="Q71" s="203"/>
      <c r="R71" s="203"/>
      <c r="S71" s="203"/>
      <c r="T71" s="203"/>
      <c r="U71" s="203"/>
      <c r="V71" s="203"/>
      <c r="W71" s="203"/>
      <c r="X71" s="203"/>
      <c r="Y71" s="203"/>
      <c r="Z71" s="203"/>
      <c r="AA71" s="203"/>
      <c r="AB71" s="203"/>
      <c r="AC71" s="203"/>
      <c r="AD71" s="203"/>
      <c r="AE71" s="203"/>
      <c r="AF71" s="203"/>
      <c r="AG71" s="203"/>
      <c r="AH71" s="203"/>
      <c r="AI71" s="203"/>
      <c r="AJ71" s="203"/>
      <c r="AK71" s="203"/>
      <c r="AL71" s="203"/>
      <c r="AM71" s="203"/>
      <c r="AN71" s="203"/>
      <c r="AO71" s="203"/>
      <c r="AP71" s="203"/>
    </row>
    <row r="72" spans="1:42">
      <c r="A72" s="336"/>
      <c r="B72" s="336"/>
      <c r="C72" s="336"/>
      <c r="D72" s="336"/>
      <c r="E72" s="336"/>
      <c r="F72" s="336"/>
      <c r="G72" s="336"/>
      <c r="H72" s="336"/>
      <c r="I72" s="336"/>
      <c r="J72" s="336"/>
      <c r="K72" s="203"/>
      <c r="M72" s="203"/>
      <c r="N72" s="203"/>
      <c r="P72" s="203"/>
      <c r="Q72" s="203"/>
      <c r="R72" s="203"/>
      <c r="S72" s="203"/>
      <c r="T72" s="203"/>
      <c r="U72" s="203"/>
      <c r="V72" s="203"/>
      <c r="W72" s="203"/>
      <c r="X72" s="203"/>
      <c r="Y72" s="203"/>
      <c r="Z72" s="203"/>
      <c r="AA72" s="203"/>
      <c r="AB72" s="203"/>
      <c r="AC72" s="203"/>
      <c r="AD72" s="203"/>
      <c r="AE72" s="203"/>
      <c r="AF72" s="203"/>
      <c r="AG72" s="203"/>
      <c r="AH72" s="203"/>
      <c r="AI72" s="203"/>
      <c r="AJ72" s="203"/>
      <c r="AK72" s="203"/>
      <c r="AL72" s="203"/>
      <c r="AM72" s="203"/>
      <c r="AN72" s="203"/>
      <c r="AO72" s="203"/>
      <c r="AP72" s="203"/>
    </row>
    <row r="73" spans="1:42">
      <c r="A73" s="336"/>
      <c r="B73" s="336"/>
      <c r="C73" s="336"/>
      <c r="D73" s="336"/>
      <c r="E73" s="336"/>
      <c r="F73" s="336"/>
      <c r="G73" s="336"/>
      <c r="H73" s="336"/>
      <c r="I73" s="336"/>
      <c r="J73" s="336"/>
      <c r="K73" s="203"/>
      <c r="M73" s="203"/>
      <c r="N73" s="203"/>
      <c r="P73" s="203"/>
      <c r="Q73" s="203"/>
      <c r="R73" s="203"/>
      <c r="S73" s="203"/>
      <c r="T73" s="203"/>
      <c r="U73" s="203"/>
      <c r="V73" s="203"/>
      <c r="W73" s="203"/>
      <c r="X73" s="203"/>
      <c r="Y73" s="203"/>
      <c r="Z73" s="203"/>
      <c r="AA73" s="203"/>
      <c r="AB73" s="203"/>
      <c r="AC73" s="203"/>
      <c r="AD73" s="203"/>
      <c r="AE73" s="203"/>
      <c r="AF73" s="203"/>
      <c r="AG73" s="203"/>
      <c r="AH73" s="203"/>
      <c r="AI73" s="203"/>
      <c r="AJ73" s="203"/>
      <c r="AK73" s="203"/>
      <c r="AL73" s="203"/>
      <c r="AM73" s="203"/>
      <c r="AN73" s="203"/>
      <c r="AO73" s="203"/>
      <c r="AP73" s="203"/>
    </row>
    <row r="74" spans="1:42">
      <c r="A74" s="336"/>
      <c r="B74" s="336"/>
      <c r="C74" s="336"/>
      <c r="D74" s="336"/>
      <c r="E74" s="336"/>
      <c r="F74" s="336"/>
      <c r="G74" s="336"/>
      <c r="H74" s="336"/>
      <c r="I74" s="336"/>
      <c r="J74" s="336"/>
      <c r="K74" s="203"/>
      <c r="M74" s="203"/>
      <c r="N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3"/>
      <c r="AL74" s="203"/>
      <c r="AM74" s="203"/>
      <c r="AN74" s="203"/>
      <c r="AO74" s="203"/>
      <c r="AP74" s="203"/>
    </row>
    <row r="75" spans="1:42">
      <c r="A75" s="336"/>
      <c r="B75" s="336"/>
      <c r="C75" s="336"/>
      <c r="D75" s="336"/>
      <c r="E75" s="336"/>
      <c r="F75" s="336"/>
      <c r="G75" s="336"/>
      <c r="H75" s="336"/>
      <c r="I75" s="336"/>
      <c r="J75" s="336"/>
      <c r="K75" s="203"/>
      <c r="M75" s="203"/>
      <c r="N75" s="203"/>
      <c r="P75" s="203"/>
      <c r="Q75" s="203"/>
      <c r="R75" s="203"/>
      <c r="S75" s="203"/>
      <c r="T75" s="203"/>
      <c r="U75" s="203"/>
      <c r="V75" s="203"/>
      <c r="W75" s="203"/>
      <c r="X75" s="203"/>
      <c r="Y75" s="203"/>
      <c r="Z75" s="203"/>
      <c r="AA75" s="203"/>
      <c r="AB75" s="203"/>
      <c r="AC75" s="203"/>
      <c r="AD75" s="203"/>
      <c r="AE75" s="203"/>
      <c r="AF75" s="203"/>
      <c r="AG75" s="203"/>
      <c r="AH75" s="203"/>
      <c r="AI75" s="203"/>
      <c r="AJ75" s="203"/>
      <c r="AK75" s="203"/>
      <c r="AL75" s="203"/>
      <c r="AM75" s="203"/>
      <c r="AN75" s="203"/>
      <c r="AO75" s="203"/>
      <c r="AP75" s="203"/>
    </row>
    <row r="76" spans="1:42">
      <c r="A76" s="336"/>
      <c r="B76" s="336"/>
      <c r="C76" s="336"/>
      <c r="D76" s="336"/>
      <c r="E76" s="336"/>
      <c r="F76" s="336"/>
      <c r="G76" s="336"/>
      <c r="H76" s="336"/>
      <c r="I76" s="336"/>
      <c r="J76" s="336"/>
      <c r="K76" s="203"/>
      <c r="M76" s="203"/>
      <c r="N76" s="203"/>
      <c r="P76" s="203"/>
      <c r="Q76" s="203"/>
      <c r="R76" s="203"/>
      <c r="S76" s="203"/>
      <c r="T76" s="203"/>
      <c r="U76" s="203"/>
      <c r="V76" s="203"/>
      <c r="W76" s="203"/>
      <c r="X76" s="203"/>
      <c r="Y76" s="203"/>
      <c r="Z76" s="203"/>
      <c r="AA76" s="203"/>
      <c r="AB76" s="203"/>
      <c r="AC76" s="203"/>
      <c r="AD76" s="203"/>
      <c r="AE76" s="203"/>
      <c r="AF76" s="203"/>
      <c r="AG76" s="203"/>
      <c r="AH76" s="203"/>
      <c r="AI76" s="203"/>
      <c r="AJ76" s="203"/>
      <c r="AK76" s="203"/>
      <c r="AL76" s="203"/>
      <c r="AM76" s="203"/>
      <c r="AN76" s="203"/>
      <c r="AO76" s="203"/>
      <c r="AP76" s="203"/>
    </row>
    <row r="77" spans="1:42">
      <c r="A77" s="336"/>
      <c r="B77" s="336"/>
      <c r="C77" s="336"/>
      <c r="D77" s="336"/>
      <c r="E77" s="336"/>
      <c r="F77" s="336"/>
      <c r="G77" s="336"/>
      <c r="H77" s="336"/>
      <c r="I77" s="336"/>
      <c r="J77" s="336"/>
      <c r="K77" s="203"/>
      <c r="M77" s="203"/>
      <c r="N77" s="203"/>
      <c r="P77" s="203"/>
      <c r="Q77" s="203"/>
      <c r="R77" s="203"/>
      <c r="S77" s="203"/>
      <c r="T77" s="203"/>
      <c r="U77" s="203"/>
      <c r="V77" s="203"/>
      <c r="W77" s="203"/>
      <c r="X77" s="203"/>
      <c r="Y77" s="203"/>
      <c r="Z77" s="203"/>
      <c r="AA77" s="203"/>
      <c r="AB77" s="203"/>
      <c r="AC77" s="203"/>
      <c r="AD77" s="203"/>
      <c r="AE77" s="203"/>
      <c r="AF77" s="203"/>
      <c r="AG77" s="203"/>
      <c r="AH77" s="203"/>
      <c r="AI77" s="203"/>
      <c r="AJ77" s="203"/>
      <c r="AK77" s="203"/>
      <c r="AL77" s="203"/>
      <c r="AM77" s="203"/>
      <c r="AN77" s="203"/>
      <c r="AO77" s="203"/>
      <c r="AP77" s="203"/>
    </row>
    <row r="78" spans="1:42">
      <c r="A78" s="336"/>
      <c r="B78" s="336"/>
      <c r="C78" s="336"/>
      <c r="D78" s="336"/>
      <c r="E78" s="336"/>
      <c r="F78" s="336"/>
      <c r="G78" s="336"/>
      <c r="H78" s="336"/>
      <c r="I78" s="336"/>
      <c r="J78" s="336"/>
      <c r="K78" s="203"/>
      <c r="M78" s="203"/>
      <c r="N78" s="203"/>
      <c r="P78" s="203"/>
      <c r="Q78" s="203"/>
      <c r="R78" s="203"/>
      <c r="S78" s="203"/>
      <c r="T78" s="203"/>
      <c r="U78" s="203"/>
      <c r="V78" s="203"/>
      <c r="W78" s="203"/>
      <c r="X78" s="203"/>
      <c r="Y78" s="203"/>
      <c r="Z78" s="203"/>
      <c r="AA78" s="203"/>
      <c r="AB78" s="203"/>
      <c r="AC78" s="203"/>
      <c r="AD78" s="203"/>
      <c r="AE78" s="203"/>
      <c r="AF78" s="203"/>
      <c r="AG78" s="203"/>
      <c r="AH78" s="203"/>
      <c r="AI78" s="203"/>
      <c r="AJ78" s="203"/>
      <c r="AK78" s="203"/>
      <c r="AL78" s="203"/>
      <c r="AM78" s="203"/>
      <c r="AN78" s="203"/>
      <c r="AO78" s="203"/>
      <c r="AP78" s="203"/>
    </row>
    <row r="79" spans="1:42">
      <c r="A79" s="336"/>
      <c r="B79" s="336"/>
      <c r="C79" s="336"/>
      <c r="D79" s="336"/>
      <c r="E79" s="336"/>
      <c r="F79" s="336"/>
      <c r="G79" s="336"/>
      <c r="H79" s="336"/>
      <c r="I79" s="336"/>
      <c r="J79" s="336"/>
      <c r="K79" s="203"/>
      <c r="M79" s="203"/>
      <c r="N79" s="203"/>
      <c r="P79" s="203"/>
      <c r="Q79" s="203"/>
      <c r="R79" s="203"/>
      <c r="S79" s="203"/>
      <c r="T79" s="203"/>
      <c r="U79" s="203"/>
      <c r="V79" s="203"/>
      <c r="W79" s="203"/>
      <c r="X79" s="203"/>
      <c r="Y79" s="203"/>
      <c r="Z79" s="203"/>
      <c r="AA79" s="203"/>
      <c r="AB79" s="203"/>
      <c r="AC79" s="203"/>
      <c r="AD79" s="203"/>
      <c r="AE79" s="203"/>
      <c r="AF79" s="203"/>
      <c r="AG79" s="203"/>
      <c r="AH79" s="203"/>
      <c r="AI79" s="203"/>
      <c r="AJ79" s="203"/>
      <c r="AK79" s="203"/>
      <c r="AL79" s="203"/>
      <c r="AM79" s="203"/>
      <c r="AN79" s="203"/>
      <c r="AO79" s="203"/>
      <c r="AP79" s="203"/>
    </row>
    <row r="80" spans="1:42">
      <c r="A80" s="336"/>
      <c r="B80" s="336"/>
      <c r="C80" s="336"/>
      <c r="D80" s="336"/>
      <c r="E80" s="336"/>
      <c r="F80" s="336"/>
      <c r="G80" s="336"/>
      <c r="H80" s="336"/>
      <c r="I80" s="336"/>
      <c r="J80" s="336"/>
      <c r="K80" s="203"/>
      <c r="M80" s="203"/>
      <c r="N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row>
    <row r="81" spans="1:42">
      <c r="A81" s="336"/>
      <c r="B81" s="336"/>
      <c r="C81" s="336"/>
      <c r="D81" s="336"/>
      <c r="E81" s="336"/>
      <c r="F81" s="336"/>
      <c r="G81" s="336"/>
      <c r="H81" s="336"/>
      <c r="I81" s="336"/>
      <c r="J81" s="336"/>
      <c r="K81" s="203"/>
      <c r="M81" s="203"/>
      <c r="N81" s="203"/>
      <c r="P81" s="203"/>
      <c r="Q81" s="203"/>
      <c r="R81" s="203"/>
      <c r="S81" s="203"/>
      <c r="T81" s="203"/>
      <c r="U81" s="203"/>
      <c r="V81" s="203"/>
      <c r="W81" s="203"/>
      <c r="X81" s="203"/>
      <c r="Y81" s="203"/>
      <c r="Z81" s="203"/>
      <c r="AA81" s="203"/>
      <c r="AB81" s="203"/>
      <c r="AC81" s="203"/>
      <c r="AD81" s="203"/>
      <c r="AE81" s="203"/>
      <c r="AF81" s="203"/>
      <c r="AG81" s="203"/>
      <c r="AH81" s="203"/>
      <c r="AI81" s="203"/>
      <c r="AJ81" s="203"/>
      <c r="AK81" s="203"/>
      <c r="AL81" s="203"/>
      <c r="AM81" s="203"/>
      <c r="AN81" s="203"/>
      <c r="AO81" s="203"/>
      <c r="AP81" s="203"/>
    </row>
    <row r="82" spans="1:42">
      <c r="A82" s="336"/>
      <c r="B82" s="336"/>
      <c r="C82" s="336"/>
      <c r="D82" s="336"/>
      <c r="E82" s="336"/>
      <c r="F82" s="336"/>
      <c r="G82" s="336"/>
      <c r="H82" s="336"/>
      <c r="I82" s="336"/>
      <c r="J82" s="336"/>
      <c r="K82" s="203"/>
      <c r="M82" s="203"/>
      <c r="N82" s="203"/>
      <c r="P82" s="203"/>
      <c r="Q82" s="203"/>
      <c r="R82" s="203"/>
      <c r="S82" s="203"/>
      <c r="T82" s="203"/>
      <c r="U82" s="203"/>
      <c r="V82" s="203"/>
      <c r="W82" s="203"/>
      <c r="X82" s="203"/>
      <c r="Y82" s="203"/>
      <c r="Z82" s="203"/>
      <c r="AA82" s="203"/>
      <c r="AB82" s="203"/>
      <c r="AC82" s="203"/>
      <c r="AD82" s="203"/>
      <c r="AE82" s="203"/>
      <c r="AF82" s="203"/>
      <c r="AG82" s="203"/>
      <c r="AH82" s="203"/>
      <c r="AI82" s="203"/>
      <c r="AJ82" s="203"/>
      <c r="AK82" s="203"/>
      <c r="AL82" s="203"/>
      <c r="AM82" s="203"/>
      <c r="AN82" s="203"/>
      <c r="AO82" s="203"/>
      <c r="AP82" s="203"/>
    </row>
    <row r="83" spans="1:42">
      <c r="A83" s="336"/>
      <c r="B83" s="336"/>
      <c r="C83" s="336"/>
      <c r="D83" s="336"/>
      <c r="E83" s="336"/>
      <c r="F83" s="336"/>
      <c r="G83" s="336"/>
      <c r="H83" s="336"/>
      <c r="I83" s="336"/>
      <c r="J83" s="336"/>
      <c r="K83" s="203"/>
      <c r="M83" s="203"/>
      <c r="N83" s="203"/>
      <c r="P83" s="203"/>
      <c r="Q83" s="203"/>
      <c r="R83" s="203"/>
      <c r="S83" s="203"/>
      <c r="T83" s="203"/>
      <c r="U83" s="203"/>
      <c r="V83" s="203"/>
      <c r="W83" s="203"/>
      <c r="X83" s="203"/>
      <c r="Y83" s="203"/>
      <c r="Z83" s="203"/>
      <c r="AA83" s="203"/>
      <c r="AB83" s="203"/>
      <c r="AC83" s="203"/>
      <c r="AD83" s="203"/>
      <c r="AE83" s="203"/>
      <c r="AF83" s="203"/>
      <c r="AG83" s="203"/>
      <c r="AH83" s="203"/>
      <c r="AI83" s="203"/>
      <c r="AJ83" s="203"/>
      <c r="AK83" s="203"/>
      <c r="AL83" s="203"/>
      <c r="AM83" s="203"/>
      <c r="AN83" s="203"/>
      <c r="AO83" s="203"/>
      <c r="AP83" s="203"/>
    </row>
    <row r="84" spans="1:42">
      <c r="A84" s="336"/>
      <c r="B84" s="336"/>
      <c r="C84" s="336"/>
      <c r="D84" s="336"/>
      <c r="E84" s="336"/>
      <c r="F84" s="336"/>
      <c r="G84" s="336"/>
      <c r="H84" s="336"/>
      <c r="I84" s="336"/>
      <c r="J84" s="336"/>
      <c r="K84" s="203"/>
      <c r="M84" s="203"/>
      <c r="N84" s="203"/>
      <c r="P84" s="203"/>
      <c r="Q84" s="203"/>
      <c r="R84" s="203"/>
      <c r="S84" s="203"/>
      <c r="T84" s="203"/>
      <c r="U84" s="203"/>
      <c r="V84" s="203"/>
      <c r="W84" s="203"/>
      <c r="X84" s="203"/>
      <c r="Y84" s="203"/>
      <c r="Z84" s="203"/>
      <c r="AA84" s="203"/>
      <c r="AB84" s="203"/>
      <c r="AC84" s="203"/>
      <c r="AD84" s="203"/>
      <c r="AE84" s="203"/>
      <c r="AF84" s="203"/>
      <c r="AG84" s="203"/>
      <c r="AH84" s="203"/>
      <c r="AI84" s="203"/>
      <c r="AJ84" s="203"/>
      <c r="AK84" s="203"/>
      <c r="AL84" s="203"/>
      <c r="AM84" s="203"/>
      <c r="AN84" s="203"/>
      <c r="AO84" s="203"/>
      <c r="AP84" s="203"/>
    </row>
    <row r="85" spans="1:42">
      <c r="A85" s="336"/>
      <c r="B85" s="336"/>
      <c r="C85" s="336"/>
      <c r="D85" s="336"/>
      <c r="E85" s="336"/>
      <c r="F85" s="336"/>
      <c r="G85" s="336"/>
      <c r="H85" s="336"/>
      <c r="I85" s="336"/>
      <c r="J85" s="336"/>
      <c r="K85" s="203"/>
      <c r="M85" s="203"/>
      <c r="N85" s="203"/>
      <c r="P85" s="203"/>
      <c r="Q85" s="203"/>
      <c r="R85" s="203"/>
      <c r="S85" s="203"/>
      <c r="T85" s="203"/>
      <c r="U85" s="203"/>
      <c r="V85" s="203"/>
      <c r="W85" s="203"/>
      <c r="X85" s="203"/>
      <c r="Y85" s="203"/>
      <c r="Z85" s="203"/>
      <c r="AA85" s="203"/>
      <c r="AB85" s="203"/>
      <c r="AC85" s="203"/>
      <c r="AD85" s="203"/>
      <c r="AE85" s="203"/>
      <c r="AF85" s="203"/>
      <c r="AG85" s="203"/>
      <c r="AH85" s="203"/>
      <c r="AI85" s="203"/>
      <c r="AJ85" s="203"/>
      <c r="AK85" s="203"/>
      <c r="AL85" s="203"/>
      <c r="AM85" s="203"/>
      <c r="AN85" s="203"/>
      <c r="AO85" s="203"/>
      <c r="AP85" s="203"/>
    </row>
    <row r="86" spans="1:42">
      <c r="A86" s="336"/>
      <c r="B86" s="336"/>
      <c r="C86" s="336"/>
      <c r="D86" s="336"/>
      <c r="E86" s="336"/>
      <c r="F86" s="336"/>
      <c r="G86" s="336"/>
      <c r="H86" s="336"/>
      <c r="I86" s="336"/>
      <c r="J86" s="336"/>
      <c r="K86" s="203"/>
      <c r="M86" s="203"/>
      <c r="N86" s="203"/>
      <c r="P86" s="203"/>
      <c r="Q86" s="203"/>
      <c r="R86" s="203"/>
      <c r="S86" s="203"/>
      <c r="T86" s="203"/>
      <c r="U86" s="203"/>
      <c r="V86" s="203"/>
      <c r="W86" s="203"/>
      <c r="X86" s="203"/>
      <c r="Y86" s="203"/>
      <c r="Z86" s="203"/>
      <c r="AA86" s="203"/>
      <c r="AB86" s="203"/>
      <c r="AC86" s="203"/>
      <c r="AD86" s="203"/>
      <c r="AE86" s="203"/>
      <c r="AF86" s="203"/>
      <c r="AG86" s="203"/>
      <c r="AH86" s="203"/>
      <c r="AI86" s="203"/>
      <c r="AJ86" s="203"/>
      <c r="AK86" s="203"/>
      <c r="AL86" s="203"/>
      <c r="AM86" s="203"/>
      <c r="AN86" s="203"/>
      <c r="AO86" s="203"/>
      <c r="AP86" s="203"/>
    </row>
    <row r="87" spans="1:42">
      <c r="A87" s="203"/>
      <c r="B87" s="203"/>
      <c r="D87" s="203"/>
      <c r="E87" s="203"/>
      <c r="F87" s="203"/>
      <c r="H87" s="203"/>
      <c r="I87" s="203"/>
      <c r="J87" s="203"/>
      <c r="K87" s="203"/>
      <c r="M87" s="203"/>
      <c r="N87" s="203"/>
      <c r="P87" s="203"/>
      <c r="Q87" s="203"/>
      <c r="R87" s="203"/>
      <c r="S87" s="203"/>
      <c r="T87" s="203"/>
      <c r="U87" s="203"/>
      <c r="V87" s="203"/>
      <c r="W87" s="203"/>
      <c r="X87" s="203"/>
      <c r="Y87" s="203"/>
      <c r="Z87" s="203"/>
      <c r="AA87" s="203"/>
      <c r="AB87" s="203"/>
      <c r="AC87" s="203"/>
      <c r="AD87" s="203"/>
      <c r="AE87" s="203"/>
      <c r="AF87" s="203"/>
      <c r="AG87" s="203"/>
      <c r="AH87" s="203"/>
      <c r="AI87" s="203"/>
      <c r="AJ87" s="203"/>
      <c r="AK87" s="203"/>
      <c r="AL87" s="203"/>
      <c r="AM87" s="203"/>
      <c r="AN87" s="203"/>
      <c r="AO87" s="203"/>
      <c r="AP87" s="203"/>
    </row>
    <row r="88" spans="1:42">
      <c r="A88" s="203"/>
      <c r="B88" s="203"/>
      <c r="D88" s="203"/>
      <c r="E88" s="203"/>
      <c r="F88" s="203"/>
      <c r="H88" s="203"/>
      <c r="I88" s="203"/>
      <c r="J88" s="203"/>
      <c r="K88" s="203"/>
      <c r="M88" s="203"/>
      <c r="N88" s="203"/>
      <c r="P88" s="203"/>
      <c r="Q88" s="203"/>
      <c r="R88" s="203"/>
      <c r="S88" s="203"/>
      <c r="T88" s="203"/>
      <c r="U88" s="203"/>
      <c r="V88" s="203"/>
      <c r="W88" s="203"/>
      <c r="X88" s="203"/>
      <c r="Y88" s="203"/>
      <c r="Z88" s="203"/>
      <c r="AA88" s="203"/>
      <c r="AB88" s="203"/>
      <c r="AC88" s="203"/>
      <c r="AD88" s="203"/>
      <c r="AE88" s="203"/>
      <c r="AF88" s="203"/>
      <c r="AG88" s="203"/>
      <c r="AH88" s="203"/>
      <c r="AI88" s="203"/>
      <c r="AJ88" s="203"/>
      <c r="AK88" s="203"/>
      <c r="AL88" s="203"/>
      <c r="AM88" s="203"/>
      <c r="AN88" s="203"/>
      <c r="AO88" s="203"/>
      <c r="AP88" s="203"/>
    </row>
  </sheetData>
  <mergeCells count="79">
    <mergeCell ref="AI3:AP3"/>
    <mergeCell ref="AI4:AP4"/>
    <mergeCell ref="AI5:AP5"/>
    <mergeCell ref="AI6:AP6"/>
    <mergeCell ref="AI8:AP8"/>
    <mergeCell ref="M19:M27"/>
    <mergeCell ref="L38:Q38"/>
    <mergeCell ref="E28:E30"/>
    <mergeCell ref="U26:U27"/>
    <mergeCell ref="V26:Y27"/>
    <mergeCell ref="D26:I26"/>
    <mergeCell ref="D28:D30"/>
    <mergeCell ref="D16:D19"/>
    <mergeCell ref="D3:D6"/>
    <mergeCell ref="D8:D11"/>
    <mergeCell ref="D14:I14"/>
    <mergeCell ref="D21:D23"/>
    <mergeCell ref="E36:E38"/>
    <mergeCell ref="E16:E19"/>
    <mergeCell ref="D56:D57"/>
    <mergeCell ref="E56:E57"/>
    <mergeCell ref="D50:I50"/>
    <mergeCell ref="E33:E35"/>
    <mergeCell ref="D33:D35"/>
    <mergeCell ref="D42:D44"/>
    <mergeCell ref="D47:D48"/>
    <mergeCell ref="E42:E44"/>
    <mergeCell ref="E47:E48"/>
    <mergeCell ref="D40:I40"/>
    <mergeCell ref="E52:E53"/>
    <mergeCell ref="F36:F37"/>
    <mergeCell ref="G36:G37"/>
    <mergeCell ref="H36:H37"/>
    <mergeCell ref="D36:D38"/>
    <mergeCell ref="D52:D53"/>
    <mergeCell ref="U42:U44"/>
    <mergeCell ref="V42:Y44"/>
    <mergeCell ref="Z42:Z44"/>
    <mergeCell ref="U31:U34"/>
    <mergeCell ref="V31:Y34"/>
    <mergeCell ref="Z31:Z34"/>
    <mergeCell ref="U35:U38"/>
    <mergeCell ref="V35:Y38"/>
    <mergeCell ref="Z35:Z38"/>
    <mergeCell ref="U40:U41"/>
    <mergeCell ref="V40:Y41"/>
    <mergeCell ref="Z40:Z41"/>
    <mergeCell ref="A1:B1"/>
    <mergeCell ref="AB22:AD29"/>
    <mergeCell ref="AI7:AP7"/>
    <mergeCell ref="AI2:AP2"/>
    <mergeCell ref="V30:Y30"/>
    <mergeCell ref="D1:I1"/>
    <mergeCell ref="L1:Q1"/>
    <mergeCell ref="L9:Q9"/>
    <mergeCell ref="L16:Q16"/>
    <mergeCell ref="U23:U25"/>
    <mergeCell ref="V23:Y25"/>
    <mergeCell ref="Z23:Z25"/>
    <mergeCell ref="Z26:Z27"/>
    <mergeCell ref="U28:U29"/>
    <mergeCell ref="V28:Y29"/>
    <mergeCell ref="Z28:Z29"/>
    <mergeCell ref="AI10:AP11"/>
    <mergeCell ref="L31:Q31"/>
    <mergeCell ref="L3:L4"/>
    <mergeCell ref="L19:L27"/>
    <mergeCell ref="E3:E6"/>
    <mergeCell ref="E8:E11"/>
    <mergeCell ref="M3:M4"/>
    <mergeCell ref="E21:E23"/>
    <mergeCell ref="V18:Y18"/>
    <mergeCell ref="AB18:AD18"/>
    <mergeCell ref="U19:U22"/>
    <mergeCell ref="V19:Y22"/>
    <mergeCell ref="Z19:Z22"/>
    <mergeCell ref="AB19:AD21"/>
    <mergeCell ref="AI9:AP9"/>
    <mergeCell ref="S3:S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61"/>
  <sheetViews>
    <sheetView topLeftCell="A8" zoomScale="70" zoomScaleNormal="70" workbookViewId="0">
      <selection activeCell="E11" sqref="E11"/>
    </sheetView>
  </sheetViews>
  <sheetFormatPr baseColWidth="10" defaultColWidth="11.42578125" defaultRowHeight="15"/>
  <cols>
    <col min="2" max="2" width="17.7109375" bestFit="1" customWidth="1"/>
    <col min="3" max="3" width="23.28515625" customWidth="1"/>
    <col min="4" max="4" width="19.85546875" bestFit="1" customWidth="1"/>
    <col min="5" max="5" width="17" bestFit="1" customWidth="1"/>
    <col min="6" max="6" width="14.42578125" bestFit="1" customWidth="1"/>
    <col min="7" max="7" width="10" customWidth="1"/>
    <col min="8" max="8" width="5.42578125" customWidth="1"/>
    <col min="9" max="9" width="17.7109375" bestFit="1" customWidth="1"/>
    <col min="10" max="10" width="19.85546875" customWidth="1"/>
  </cols>
  <sheetData>
    <row r="1" spans="1:22">
      <c r="A1" s="519" t="str">
        <f>'Línea Leche de almendra'!L9</f>
        <v>Equipo: Filtro Prensa</v>
      </c>
      <c r="B1" s="520"/>
      <c r="C1" s="520"/>
      <c r="D1" s="520"/>
      <c r="E1" s="520"/>
      <c r="F1" s="521"/>
      <c r="G1" s="203"/>
      <c r="H1" s="203"/>
      <c r="I1" s="203"/>
      <c r="J1" s="203"/>
      <c r="K1" s="203"/>
      <c r="L1" s="203"/>
      <c r="M1" s="203"/>
      <c r="N1" s="203"/>
      <c r="O1" s="203"/>
      <c r="P1" s="203"/>
      <c r="Q1" s="203"/>
      <c r="R1" s="203"/>
      <c r="S1" s="203"/>
      <c r="T1" s="203"/>
      <c r="U1" s="203"/>
      <c r="V1" s="203"/>
    </row>
    <row r="2" spans="1:22" ht="30">
      <c r="A2" s="264" t="s">
        <v>30</v>
      </c>
      <c r="B2" s="260" t="s">
        <v>60</v>
      </c>
      <c r="C2" s="260" t="s">
        <v>2</v>
      </c>
      <c r="D2" s="260" t="s">
        <v>31</v>
      </c>
      <c r="E2" s="341" t="s">
        <v>32</v>
      </c>
      <c r="F2" s="260" t="s">
        <v>4</v>
      </c>
      <c r="G2" s="203"/>
      <c r="H2" s="203"/>
      <c r="I2" s="203"/>
      <c r="J2" s="203"/>
      <c r="K2" s="203"/>
      <c r="L2" s="203"/>
      <c r="M2" s="203"/>
      <c r="N2" s="203"/>
      <c r="O2" s="203"/>
      <c r="P2" s="203"/>
      <c r="Q2" s="203"/>
      <c r="R2" s="203"/>
      <c r="S2" s="203"/>
      <c r="T2" s="203"/>
      <c r="U2" s="522" t="s">
        <v>141</v>
      </c>
      <c r="V2" s="523"/>
    </row>
    <row r="3" spans="1:22">
      <c r="A3" s="258" t="s">
        <v>49</v>
      </c>
      <c r="B3" s="404">
        <f>E3</f>
        <v>12646.806488517792</v>
      </c>
      <c r="C3" s="405" t="s">
        <v>50</v>
      </c>
      <c r="D3" s="405">
        <v>1</v>
      </c>
      <c r="E3" s="259">
        <f>'Línea Leche de almendra'!P11</f>
        <v>12646.806488517792</v>
      </c>
      <c r="F3" s="405" t="s">
        <v>6</v>
      </c>
      <c r="G3" s="28">
        <f>E3</f>
        <v>12646.806488517792</v>
      </c>
      <c r="H3" s="203"/>
      <c r="I3" s="203"/>
      <c r="J3" s="203"/>
      <c r="K3" s="203"/>
      <c r="L3" s="203"/>
      <c r="M3" s="203"/>
      <c r="N3" s="203"/>
      <c r="O3" s="203"/>
      <c r="P3" s="203"/>
      <c r="Q3" s="203"/>
      <c r="R3" s="203"/>
      <c r="S3" s="203"/>
      <c r="T3" s="203"/>
      <c r="U3" s="210" t="s">
        <v>142</v>
      </c>
      <c r="V3" s="256">
        <f>100-SUM(V4:V10)</f>
        <v>91.32</v>
      </c>
    </row>
    <row r="4" spans="1:22" ht="30">
      <c r="A4" s="264" t="s">
        <v>30</v>
      </c>
      <c r="B4" s="260" t="s">
        <v>46</v>
      </c>
      <c r="C4" s="260" t="s">
        <v>2</v>
      </c>
      <c r="D4" s="340" t="s">
        <v>31</v>
      </c>
      <c r="E4" s="341" t="str">
        <f>'Línea Leche de almendra'!P12</f>
        <v>Masa en corriente</v>
      </c>
      <c r="F4" s="340" t="s">
        <v>4</v>
      </c>
      <c r="G4" s="203"/>
      <c r="H4" s="203"/>
      <c r="I4" s="203"/>
      <c r="J4" s="203"/>
      <c r="K4" s="203"/>
      <c r="L4" s="203"/>
      <c r="M4" s="203"/>
      <c r="N4" s="203"/>
      <c r="O4" s="203"/>
      <c r="P4" s="203"/>
      <c r="Q4" s="203"/>
      <c r="R4" s="203"/>
      <c r="S4" s="203"/>
      <c r="T4" s="203"/>
      <c r="U4" s="210" t="s">
        <v>143</v>
      </c>
      <c r="V4" s="256">
        <v>5.83</v>
      </c>
    </row>
    <row r="5" spans="1:22">
      <c r="A5" s="258" t="s">
        <v>65</v>
      </c>
      <c r="B5" s="404">
        <f>E5</f>
        <v>12134.437292087499</v>
      </c>
      <c r="C5" s="405" t="s">
        <v>66</v>
      </c>
      <c r="D5" s="405">
        <v>1</v>
      </c>
      <c r="E5" s="259">
        <f>'Línea Leche de almendra'!P13</f>
        <v>12134.437292087499</v>
      </c>
      <c r="F5" s="405" t="s">
        <v>6</v>
      </c>
      <c r="G5" s="28">
        <f>E5+E6</f>
        <v>12646.806488517792</v>
      </c>
      <c r="H5" s="203"/>
      <c r="I5" s="203"/>
      <c r="J5" s="203"/>
      <c r="K5" s="203"/>
      <c r="L5" s="203"/>
      <c r="M5" s="203"/>
      <c r="N5" s="203"/>
      <c r="O5" s="203"/>
      <c r="P5" s="203"/>
      <c r="Q5" s="203"/>
      <c r="R5" s="203"/>
      <c r="S5" s="203"/>
      <c r="T5" s="203"/>
      <c r="U5" s="210" t="s">
        <v>144</v>
      </c>
      <c r="V5" s="256">
        <v>0.65</v>
      </c>
    </row>
    <row r="6" spans="1:22">
      <c r="A6" s="258" t="s">
        <v>69</v>
      </c>
      <c r="B6" s="404">
        <f>E6</f>
        <v>512.36919643029171</v>
      </c>
      <c r="C6" s="405" t="s">
        <v>70</v>
      </c>
      <c r="D6" s="405">
        <v>1</v>
      </c>
      <c r="E6" s="259">
        <f>'Línea Leche de almendra'!P14</f>
        <v>512.36919643029171</v>
      </c>
      <c r="F6" s="405" t="s">
        <v>6</v>
      </c>
      <c r="G6" s="203"/>
      <c r="H6" s="203"/>
      <c r="I6" s="203"/>
      <c r="J6" s="203"/>
      <c r="K6" s="203"/>
      <c r="L6" s="203"/>
      <c r="M6" s="203"/>
      <c r="N6" s="203"/>
      <c r="O6" s="203"/>
      <c r="P6" s="203"/>
      <c r="Q6" s="203"/>
      <c r="R6" s="203"/>
      <c r="S6" s="203"/>
      <c r="T6" s="203"/>
      <c r="U6" s="210" t="s">
        <v>145</v>
      </c>
      <c r="V6" s="256">
        <v>0.8</v>
      </c>
    </row>
    <row r="7" spans="1:22">
      <c r="A7" s="201"/>
      <c r="B7" s="201"/>
      <c r="C7" s="201"/>
      <c r="D7" s="201"/>
      <c r="E7" s="201"/>
      <c r="F7" s="201"/>
      <c r="G7" s="203"/>
      <c r="H7" s="203"/>
      <c r="I7" s="203"/>
      <c r="J7" s="203"/>
      <c r="K7" s="203"/>
      <c r="L7" s="203"/>
      <c r="M7" s="203"/>
      <c r="N7" s="203"/>
      <c r="O7" s="203"/>
      <c r="P7" s="203"/>
      <c r="Q7" s="203"/>
      <c r="R7" s="203"/>
      <c r="S7" s="203"/>
      <c r="T7" s="203"/>
      <c r="U7" s="210" t="s">
        <v>146</v>
      </c>
      <c r="V7" s="256">
        <v>0.1</v>
      </c>
    </row>
    <row r="8" spans="1:22">
      <c r="A8" s="524" t="s">
        <v>147</v>
      </c>
      <c r="B8" s="520"/>
      <c r="C8" s="520"/>
      <c r="D8" s="520"/>
      <c r="E8" s="520"/>
      <c r="F8" s="521"/>
      <c r="G8" s="203"/>
      <c r="H8" s="203"/>
      <c r="I8" s="203"/>
      <c r="J8" s="203"/>
      <c r="K8" s="203"/>
      <c r="L8" s="203"/>
      <c r="M8" s="203"/>
      <c r="N8" s="203"/>
      <c r="O8" s="203"/>
      <c r="P8" s="203"/>
      <c r="Q8" s="203"/>
      <c r="R8" s="203"/>
      <c r="S8" s="203"/>
      <c r="T8" s="203"/>
      <c r="U8" s="210" t="s">
        <v>148</v>
      </c>
      <c r="V8" s="256">
        <v>0.3</v>
      </c>
    </row>
    <row r="9" spans="1:22" ht="30">
      <c r="A9" s="264" t="s">
        <v>30</v>
      </c>
      <c r="B9" s="260" t="s">
        <v>60</v>
      </c>
      <c r="C9" s="260" t="s">
        <v>2</v>
      </c>
      <c r="D9" s="260" t="s">
        <v>31</v>
      </c>
      <c r="E9" s="260" t="s">
        <v>3</v>
      </c>
      <c r="F9" s="260" t="s">
        <v>4</v>
      </c>
      <c r="G9" s="203"/>
      <c r="H9" s="203"/>
      <c r="I9" s="203"/>
      <c r="J9" s="203"/>
      <c r="K9" s="203"/>
      <c r="L9" s="203"/>
      <c r="M9" s="203"/>
      <c r="N9" s="203"/>
      <c r="O9" s="203"/>
      <c r="P9" s="203"/>
      <c r="Q9" s="203"/>
      <c r="R9" s="203"/>
      <c r="S9" s="203"/>
      <c r="T9" s="203"/>
      <c r="U9" s="210" t="s">
        <v>149</v>
      </c>
      <c r="V9" s="256">
        <v>0.8</v>
      </c>
    </row>
    <row r="10" spans="1:22">
      <c r="A10" s="405" t="s">
        <v>69</v>
      </c>
      <c r="B10" s="404">
        <f>E10</f>
        <v>512.36919643029171</v>
      </c>
      <c r="C10" s="405" t="s">
        <v>70</v>
      </c>
      <c r="D10" s="405">
        <v>1</v>
      </c>
      <c r="E10" s="404">
        <f>E6</f>
        <v>512.36919643029171</v>
      </c>
      <c r="F10" s="405" t="s">
        <v>6</v>
      </c>
      <c r="G10" s="203"/>
      <c r="H10" s="203"/>
      <c r="I10" s="203"/>
      <c r="J10" s="203"/>
      <c r="K10" s="203"/>
      <c r="L10" s="203"/>
      <c r="M10" s="203"/>
      <c r="N10" s="203"/>
      <c r="O10" s="203"/>
      <c r="P10" s="203"/>
      <c r="Q10" s="203"/>
      <c r="R10" s="203"/>
      <c r="S10" s="203"/>
      <c r="T10" s="203"/>
      <c r="U10" s="210" t="s">
        <v>150</v>
      </c>
      <c r="V10" s="256">
        <v>0.2</v>
      </c>
    </row>
    <row r="11" spans="1:22">
      <c r="A11" s="525" t="s">
        <v>151</v>
      </c>
      <c r="B11" s="528">
        <f>SUM(E11:E17)</f>
        <v>48.700882884526187</v>
      </c>
      <c r="C11" s="261" t="s">
        <v>152</v>
      </c>
      <c r="D11" s="404">
        <f t="shared" ref="D11:D17" si="0">E11/$B$11</f>
        <v>0.67165898617511532</v>
      </c>
      <c r="E11" s="404">
        <f t="shared" ref="E11:E17" si="1">(V4*$E$10)/$V$3</f>
        <v>32.710385624053885</v>
      </c>
      <c r="F11" s="405" t="s">
        <v>6</v>
      </c>
      <c r="G11" s="203"/>
      <c r="H11" s="203"/>
      <c r="I11" s="203"/>
      <c r="J11" s="203"/>
      <c r="K11" s="203"/>
      <c r="L11" s="203"/>
      <c r="M11" s="203"/>
      <c r="N11" s="203"/>
      <c r="O11" s="203"/>
      <c r="P11" s="203"/>
      <c r="Q11" s="203"/>
      <c r="R11" s="203"/>
      <c r="S11" s="203"/>
      <c r="T11" s="203"/>
      <c r="U11" s="203"/>
      <c r="V11" s="203"/>
    </row>
    <row r="12" spans="1:22" s="203" customFormat="1">
      <c r="A12" s="526"/>
      <c r="B12" s="529"/>
      <c r="C12" s="262" t="s">
        <v>153</v>
      </c>
      <c r="D12" s="404">
        <f t="shared" si="0"/>
        <v>7.4884792626728133E-2</v>
      </c>
      <c r="E12" s="404">
        <f t="shared" si="1"/>
        <v>3.6469555155463169</v>
      </c>
      <c r="F12" s="405" t="s">
        <v>6</v>
      </c>
    </row>
    <row r="13" spans="1:22" s="203" customFormat="1">
      <c r="A13" s="526"/>
      <c r="B13" s="529"/>
      <c r="C13" s="262" t="s">
        <v>154</v>
      </c>
      <c r="D13" s="404">
        <f t="shared" si="0"/>
        <v>9.2165898617511552E-2</v>
      </c>
      <c r="E13" s="404">
        <f t="shared" si="1"/>
        <v>4.488560634518544</v>
      </c>
      <c r="F13" s="405" t="s">
        <v>6</v>
      </c>
    </row>
    <row r="14" spans="1:22" s="203" customFormat="1">
      <c r="A14" s="526"/>
      <c r="B14" s="529"/>
      <c r="C14" s="262" t="s">
        <v>155</v>
      </c>
      <c r="D14" s="404">
        <f t="shared" si="0"/>
        <v>1.1520737327188944E-2</v>
      </c>
      <c r="E14" s="404">
        <f t="shared" si="1"/>
        <v>0.561070079314818</v>
      </c>
      <c r="F14" s="405" t="s">
        <v>6</v>
      </c>
    </row>
    <row r="15" spans="1:22" s="203" customFormat="1">
      <c r="A15" s="526"/>
      <c r="B15" s="529"/>
      <c r="C15" s="262" t="s">
        <v>156</v>
      </c>
      <c r="D15" s="404">
        <f t="shared" si="0"/>
        <v>3.4562211981566823E-2</v>
      </c>
      <c r="E15" s="404">
        <f t="shared" si="1"/>
        <v>1.6832102379444538</v>
      </c>
      <c r="F15" s="405" t="s">
        <v>6</v>
      </c>
    </row>
    <row r="16" spans="1:22" s="203" customFormat="1">
      <c r="A16" s="526"/>
      <c r="B16" s="529"/>
      <c r="C16" s="262" t="s">
        <v>157</v>
      </c>
      <c r="D16" s="404">
        <f t="shared" si="0"/>
        <v>9.2165898617511552E-2</v>
      </c>
      <c r="E16" s="404">
        <f t="shared" si="1"/>
        <v>4.488560634518544</v>
      </c>
      <c r="F16" s="405" t="s">
        <v>6</v>
      </c>
      <c r="G16" s="353">
        <f>B11+B10</f>
        <v>561.07007931481792</v>
      </c>
    </row>
    <row r="17" spans="1:9" s="203" customFormat="1">
      <c r="A17" s="527"/>
      <c r="B17" s="530"/>
      <c r="C17" s="262" t="s">
        <v>158</v>
      </c>
      <c r="D17" s="404">
        <f t="shared" si="0"/>
        <v>2.3041474654377888E-2</v>
      </c>
      <c r="E17" s="404">
        <f t="shared" si="1"/>
        <v>1.122140158629636</v>
      </c>
      <c r="F17" s="405" t="s">
        <v>6</v>
      </c>
    </row>
    <row r="18" spans="1:9" s="203" customFormat="1" ht="30">
      <c r="A18" s="264" t="s">
        <v>30</v>
      </c>
      <c r="B18" s="260" t="s">
        <v>46</v>
      </c>
      <c r="C18" s="260" t="s">
        <v>2</v>
      </c>
      <c r="D18" s="260" t="s">
        <v>31</v>
      </c>
      <c r="E18" s="260" t="s">
        <v>32</v>
      </c>
      <c r="F18" s="260" t="s">
        <v>4</v>
      </c>
    </row>
    <row r="19" spans="1:9">
      <c r="A19" s="393" t="s">
        <v>159</v>
      </c>
      <c r="B19" s="257">
        <f>SUM(B10:B17)</f>
        <v>561.07007931481792</v>
      </c>
      <c r="C19" s="393" t="s">
        <v>160</v>
      </c>
      <c r="D19" s="393">
        <v>1</v>
      </c>
      <c r="E19" s="257">
        <f>B19</f>
        <v>561.07007931481792</v>
      </c>
      <c r="F19" s="393" t="s">
        <v>6</v>
      </c>
      <c r="G19" s="353">
        <f>B19</f>
        <v>561.07007931481792</v>
      </c>
      <c r="H19" s="203"/>
      <c r="I19" s="203"/>
    </row>
    <row r="20" spans="1:9">
      <c r="A20" s="263"/>
      <c r="B20" s="263"/>
      <c r="C20" s="263"/>
      <c r="D20" s="263"/>
      <c r="E20" s="263"/>
      <c r="F20" s="263"/>
      <c r="G20" s="203"/>
      <c r="H20" s="203"/>
      <c r="I20" s="203"/>
    </row>
    <row r="21" spans="1:9">
      <c r="A21" s="201"/>
      <c r="B21" s="201"/>
      <c r="C21" s="201"/>
      <c r="D21" s="201"/>
      <c r="E21" s="201"/>
      <c r="F21" s="201"/>
      <c r="G21" s="203"/>
      <c r="H21" s="203"/>
      <c r="I21" s="203"/>
    </row>
    <row r="22" spans="1:9">
      <c r="A22" s="524" t="s">
        <v>161</v>
      </c>
      <c r="B22" s="520"/>
      <c r="C22" s="520"/>
      <c r="D22" s="520"/>
      <c r="E22" s="520"/>
      <c r="F22" s="521"/>
      <c r="G22" s="203"/>
      <c r="H22" s="203"/>
      <c r="I22" s="203"/>
    </row>
    <row r="23" spans="1:9" ht="30">
      <c r="A23" s="264" t="s">
        <v>30</v>
      </c>
      <c r="B23" s="260" t="s">
        <v>60</v>
      </c>
      <c r="C23" s="260" t="s">
        <v>2</v>
      </c>
      <c r="D23" s="260" t="s">
        <v>31</v>
      </c>
      <c r="E23" s="260" t="s">
        <v>3</v>
      </c>
      <c r="F23" s="260" t="s">
        <v>4</v>
      </c>
      <c r="G23" s="203"/>
      <c r="H23" s="203"/>
      <c r="I23" s="203"/>
    </row>
    <row r="24" spans="1:9">
      <c r="A24" s="393" t="s">
        <v>159</v>
      </c>
      <c r="B24" s="257">
        <f>SUM(B19)</f>
        <v>561.07007931481792</v>
      </c>
      <c r="C24" s="393" t="s">
        <v>160</v>
      </c>
      <c r="D24" s="257">
        <v>1</v>
      </c>
      <c r="E24" s="257">
        <f>B24</f>
        <v>561.07007931481792</v>
      </c>
      <c r="F24" s="393" t="s">
        <v>6</v>
      </c>
      <c r="G24" s="203"/>
      <c r="H24" s="203"/>
      <c r="I24" s="203"/>
    </row>
    <row r="25" spans="1:9">
      <c r="A25" s="405" t="s">
        <v>162</v>
      </c>
      <c r="B25" s="404">
        <f>E25</f>
        <v>120.22930271031814</v>
      </c>
      <c r="C25" s="259" t="s">
        <v>163</v>
      </c>
      <c r="D25" s="257">
        <v>1</v>
      </c>
      <c r="E25" s="404">
        <f>$E$24*0.15/0.7</f>
        <v>120.22930271031814</v>
      </c>
      <c r="F25" s="405" t="s">
        <v>6</v>
      </c>
      <c r="G25" s="353">
        <f>SUM(E24:E27)</f>
        <v>801.8653805283484</v>
      </c>
      <c r="H25" s="203"/>
      <c r="I25" s="203"/>
    </row>
    <row r="26" spans="1:9">
      <c r="A26" s="405" t="s">
        <v>164</v>
      </c>
      <c r="B26" s="404">
        <f>E26</f>
        <v>120.22930271031814</v>
      </c>
      <c r="C26" s="405" t="s">
        <v>134</v>
      </c>
      <c r="D26" s="257">
        <v>1</v>
      </c>
      <c r="E26" s="404">
        <f>$E$24*0.15/0.7</f>
        <v>120.22930271031814</v>
      </c>
      <c r="F26" s="405" t="s">
        <v>6</v>
      </c>
      <c r="G26" s="203"/>
      <c r="H26" s="203"/>
      <c r="I26" s="203"/>
    </row>
    <row r="27" spans="1:9" s="203" customFormat="1">
      <c r="A27" s="405" t="s">
        <v>165</v>
      </c>
      <c r="B27" s="404">
        <f>E27</f>
        <v>0.33669579289409679</v>
      </c>
      <c r="C27" s="405" t="s">
        <v>166</v>
      </c>
      <c r="D27" s="257">
        <v>1</v>
      </c>
      <c r="E27" s="404">
        <f>(0.3846*((E24/900)+(E25/997.13)+(E26/916)))/(1-(0.3846/1660))</f>
        <v>0.33669579289409679</v>
      </c>
      <c r="F27" s="405" t="s">
        <v>6</v>
      </c>
    </row>
    <row r="28" spans="1:9" ht="30">
      <c r="A28" s="264" t="s">
        <v>30</v>
      </c>
      <c r="B28" s="260" t="s">
        <v>46</v>
      </c>
      <c r="C28" s="260" t="s">
        <v>2</v>
      </c>
      <c r="D28" s="260" t="s">
        <v>31</v>
      </c>
      <c r="E28" s="260" t="s">
        <v>32</v>
      </c>
      <c r="F28" s="260" t="s">
        <v>4</v>
      </c>
      <c r="G28" s="203"/>
      <c r="H28" s="203"/>
      <c r="I28" s="203"/>
    </row>
    <row r="29" spans="1:9">
      <c r="A29" s="405" t="s">
        <v>167</v>
      </c>
      <c r="B29" s="404">
        <f>SUM(B24:B27)</f>
        <v>801.8653805283484</v>
      </c>
      <c r="C29" s="405" t="s">
        <v>168</v>
      </c>
      <c r="D29" s="405">
        <v>1</v>
      </c>
      <c r="E29" s="404">
        <f>B29</f>
        <v>801.8653805283484</v>
      </c>
      <c r="F29" s="405" t="s">
        <v>6</v>
      </c>
      <c r="G29" s="353">
        <f>SUM(B29)</f>
        <v>801.8653805283484</v>
      </c>
      <c r="H29" s="203"/>
      <c r="I29" s="203"/>
    </row>
    <row r="30" spans="1:9">
      <c r="A30" s="201"/>
      <c r="B30" s="201"/>
      <c r="C30" s="201"/>
      <c r="D30" s="201"/>
      <c r="E30" s="201"/>
      <c r="F30" s="201"/>
      <c r="G30" s="203"/>
      <c r="H30" s="203"/>
      <c r="I30" s="203"/>
    </row>
    <row r="31" spans="1:9" ht="15" customHeight="1">
      <c r="A31" s="524" t="s">
        <v>169</v>
      </c>
      <c r="B31" s="520"/>
      <c r="C31" s="520"/>
      <c r="D31" s="520"/>
      <c r="E31" s="520"/>
      <c r="F31" s="521"/>
      <c r="G31" s="203"/>
      <c r="H31" s="203"/>
      <c r="I31" s="203"/>
    </row>
    <row r="32" spans="1:9" ht="30">
      <c r="A32" s="264" t="s">
        <v>30</v>
      </c>
      <c r="B32" s="260" t="s">
        <v>60</v>
      </c>
      <c r="C32" s="260" t="s">
        <v>2</v>
      </c>
      <c r="D32" s="260" t="s">
        <v>31</v>
      </c>
      <c r="E32" s="260" t="s">
        <v>3</v>
      </c>
      <c r="F32" s="260" t="s">
        <v>4</v>
      </c>
      <c r="G32" s="203"/>
      <c r="H32" s="203"/>
      <c r="I32" s="203"/>
    </row>
    <row r="33" spans="1:14">
      <c r="A33" s="405" t="s">
        <v>167</v>
      </c>
      <c r="B33" s="404">
        <f>B29</f>
        <v>801.8653805283484</v>
      </c>
      <c r="C33" s="405" t="s">
        <v>168</v>
      </c>
      <c r="D33" s="405">
        <v>1</v>
      </c>
      <c r="E33" s="404">
        <f>B33</f>
        <v>801.8653805283484</v>
      </c>
      <c r="F33" s="405" t="s">
        <v>6</v>
      </c>
      <c r="G33" s="203"/>
      <c r="H33" s="203"/>
      <c r="I33" s="203"/>
      <c r="J33" s="203"/>
      <c r="K33" s="203"/>
      <c r="L33" s="203"/>
      <c r="M33" s="203"/>
      <c r="N33" s="203"/>
    </row>
    <row r="34" spans="1:14" ht="30">
      <c r="A34" s="264" t="s">
        <v>30</v>
      </c>
      <c r="B34" s="260" t="s">
        <v>46</v>
      </c>
      <c r="C34" s="260" t="s">
        <v>2</v>
      </c>
      <c r="D34" s="260" t="s">
        <v>31</v>
      </c>
      <c r="E34" s="260" t="s">
        <v>32</v>
      </c>
      <c r="F34" s="260" t="s">
        <v>4</v>
      </c>
      <c r="G34" s="203"/>
      <c r="H34" s="203"/>
      <c r="I34" s="203"/>
      <c r="J34" s="203"/>
      <c r="K34" s="203"/>
      <c r="L34" s="203"/>
      <c r="M34" s="203"/>
      <c r="N34" s="203"/>
    </row>
    <row r="35" spans="1:14">
      <c r="A35" s="405" t="s">
        <v>170</v>
      </c>
      <c r="B35" s="404">
        <f>B33</f>
        <v>801.8653805283484</v>
      </c>
      <c r="C35" s="405" t="s">
        <v>171</v>
      </c>
      <c r="D35" s="405">
        <v>1</v>
      </c>
      <c r="E35" s="404">
        <f>B35</f>
        <v>801.8653805283484</v>
      </c>
      <c r="F35" s="405" t="s">
        <v>6</v>
      </c>
      <c r="G35" s="203"/>
      <c r="H35" s="203"/>
      <c r="I35" s="203"/>
      <c r="J35" s="203"/>
      <c r="K35" s="203"/>
      <c r="L35" s="203"/>
      <c r="M35" s="203"/>
      <c r="N35" s="203"/>
    </row>
    <row r="36" spans="1:14">
      <c r="A36" s="203"/>
      <c r="B36" s="203"/>
      <c r="C36" s="203"/>
      <c r="D36" s="203"/>
      <c r="E36" s="203"/>
      <c r="F36" s="203"/>
      <c r="G36" s="203"/>
      <c r="H36" s="203"/>
      <c r="I36" s="203"/>
      <c r="J36" s="203"/>
      <c r="K36" s="203"/>
      <c r="L36" s="203"/>
      <c r="M36" s="203"/>
      <c r="N36" s="203"/>
    </row>
    <row r="37" spans="1:14">
      <c r="A37" s="203"/>
      <c r="B37" s="394"/>
      <c r="C37" s="394"/>
      <c r="D37" s="394"/>
      <c r="E37" s="394"/>
      <c r="F37" s="394"/>
      <c r="G37" s="394"/>
      <c r="H37" s="203"/>
      <c r="I37" s="203"/>
      <c r="J37" s="203"/>
      <c r="K37" s="203"/>
      <c r="L37" s="203"/>
      <c r="M37" s="203"/>
      <c r="N37" s="203"/>
    </row>
    <row r="38" spans="1:14">
      <c r="A38" s="203"/>
      <c r="B38" s="203"/>
      <c r="C38" s="203"/>
      <c r="D38" s="203"/>
      <c r="E38" s="203"/>
      <c r="F38" s="203"/>
      <c r="G38" s="394"/>
      <c r="H38" s="203"/>
      <c r="I38" s="203"/>
      <c r="J38" s="203"/>
      <c r="K38" s="203"/>
      <c r="L38" s="203"/>
      <c r="M38" s="203"/>
      <c r="N38" s="203"/>
    </row>
    <row r="39" spans="1:14">
      <c r="A39" s="203"/>
      <c r="B39" s="203"/>
      <c r="C39" s="203"/>
      <c r="D39" s="203"/>
      <c r="E39" s="203"/>
      <c r="F39" s="203"/>
      <c r="G39" s="394"/>
      <c r="H39" s="203"/>
      <c r="I39" s="203"/>
      <c r="J39" s="203"/>
      <c r="K39" s="203"/>
      <c r="L39" s="203"/>
      <c r="M39" s="203"/>
      <c r="N39" s="203"/>
    </row>
    <row r="40" spans="1:14">
      <c r="A40" s="203"/>
      <c r="B40" s="203"/>
      <c r="C40" s="203"/>
      <c r="D40" s="203"/>
      <c r="E40" s="203"/>
      <c r="F40" s="203"/>
      <c r="G40" s="172"/>
      <c r="H40" s="203"/>
      <c r="I40" s="203"/>
      <c r="J40" s="203"/>
      <c r="K40" s="203"/>
      <c r="L40" s="203"/>
      <c r="M40" s="203"/>
      <c r="N40" s="203"/>
    </row>
    <row r="41" spans="1:14">
      <c r="A41" s="203"/>
      <c r="B41" s="203"/>
      <c r="C41" s="203"/>
      <c r="D41" s="203"/>
      <c r="E41" s="203"/>
      <c r="F41" s="203"/>
      <c r="G41" s="203"/>
      <c r="H41" s="394"/>
      <c r="I41" s="394"/>
      <c r="J41" s="394"/>
      <c r="K41" s="394"/>
      <c r="L41" s="394"/>
      <c r="M41" s="394"/>
      <c r="N41" s="394"/>
    </row>
    <row r="42" spans="1:14">
      <c r="A42" s="203"/>
      <c r="B42" s="203"/>
      <c r="C42" s="203"/>
      <c r="D42" s="203"/>
      <c r="E42" s="203"/>
      <c r="F42" s="203"/>
      <c r="G42" s="203"/>
      <c r="H42" s="394"/>
      <c r="I42" s="394"/>
      <c r="J42" s="394"/>
      <c r="K42" s="394"/>
      <c r="L42" s="394"/>
      <c r="M42" s="394"/>
      <c r="N42" s="394"/>
    </row>
    <row r="43" spans="1:14">
      <c r="A43" s="203"/>
      <c r="B43" s="203"/>
      <c r="C43" s="203"/>
      <c r="D43" s="203"/>
      <c r="E43" s="203"/>
      <c r="F43" s="203"/>
      <c r="G43" s="395"/>
      <c r="H43" s="394"/>
      <c r="I43" s="394"/>
      <c r="J43" s="394"/>
      <c r="K43" s="394"/>
      <c r="L43" s="394"/>
      <c r="M43" s="394"/>
      <c r="N43" s="394"/>
    </row>
    <row r="44" spans="1:14">
      <c r="A44" s="203"/>
      <c r="B44" s="203"/>
      <c r="C44" s="203"/>
      <c r="D44" s="203"/>
      <c r="E44" s="203"/>
      <c r="F44" s="203"/>
      <c r="G44" s="395"/>
      <c r="H44" s="394"/>
      <c r="I44" s="394"/>
      <c r="J44" s="394"/>
      <c r="K44" s="394"/>
      <c r="L44" s="394"/>
      <c r="M44" s="394"/>
      <c r="N44" s="394"/>
    </row>
    <row r="45" spans="1:14">
      <c r="A45" s="203"/>
      <c r="B45" s="203"/>
      <c r="C45" s="203"/>
      <c r="D45" s="203"/>
      <c r="E45" s="203"/>
      <c r="F45" s="203"/>
      <c r="G45" s="394"/>
      <c r="H45" s="203"/>
      <c r="I45" s="203"/>
      <c r="J45" s="203"/>
      <c r="K45" s="203"/>
      <c r="L45" s="203"/>
      <c r="M45" s="203"/>
      <c r="N45" s="203"/>
    </row>
    <row r="46" spans="1:14">
      <c r="A46" s="203"/>
      <c r="B46" s="203"/>
      <c r="C46" s="203"/>
      <c r="D46" s="203"/>
      <c r="E46" s="203"/>
      <c r="F46" s="203"/>
      <c r="G46" s="394"/>
      <c r="H46" s="203"/>
      <c r="I46" s="203"/>
      <c r="J46" s="203"/>
      <c r="K46" s="203"/>
      <c r="L46" s="203"/>
      <c r="M46" s="203"/>
      <c r="N46" s="203"/>
    </row>
    <row r="47" spans="1:14">
      <c r="A47" s="203"/>
      <c r="B47" s="203"/>
      <c r="C47" s="203"/>
      <c r="D47" s="203"/>
      <c r="E47" s="203"/>
      <c r="F47" s="203"/>
      <c r="G47" s="203"/>
      <c r="H47" s="203"/>
      <c r="I47" s="203"/>
      <c r="J47" s="203"/>
      <c r="K47" s="203"/>
      <c r="L47" s="203"/>
      <c r="M47" s="203"/>
      <c r="N47" s="203"/>
    </row>
    <row r="48" spans="1:14" ht="15" customHeight="1">
      <c r="A48" s="203"/>
      <c r="B48" s="203"/>
      <c r="C48" s="203"/>
      <c r="D48" s="203"/>
      <c r="E48" s="203"/>
      <c r="F48" s="203"/>
      <c r="G48" s="203"/>
      <c r="H48" s="395"/>
      <c r="I48" s="395"/>
      <c r="J48" s="395"/>
      <c r="K48" s="395"/>
      <c r="L48" s="395"/>
      <c r="M48" s="395"/>
      <c r="N48" s="395"/>
    </row>
    <row r="49" spans="1:14">
      <c r="A49" s="203"/>
      <c r="B49" s="203"/>
      <c r="C49" s="203"/>
      <c r="D49" s="203"/>
      <c r="E49" s="203"/>
      <c r="F49" s="203"/>
      <c r="G49" s="203"/>
      <c r="H49" s="395"/>
      <c r="I49" s="395"/>
      <c r="J49" s="395"/>
      <c r="K49" s="395"/>
      <c r="L49" s="395"/>
      <c r="M49" s="395"/>
      <c r="N49" s="395"/>
    </row>
    <row r="50" spans="1:14">
      <c r="A50" s="203"/>
      <c r="B50" s="203"/>
      <c r="C50" s="203"/>
      <c r="D50" s="203"/>
      <c r="E50" s="203"/>
      <c r="F50" s="203"/>
      <c r="G50" s="203" t="s">
        <v>172</v>
      </c>
      <c r="H50" s="203"/>
      <c r="I50" s="203"/>
      <c r="J50" s="203"/>
      <c r="K50" s="203"/>
      <c r="L50" s="203"/>
      <c r="M50" s="394"/>
      <c r="N50" s="394"/>
    </row>
    <row r="51" spans="1:14">
      <c r="A51" s="203"/>
      <c r="B51" s="203"/>
      <c r="C51" s="203"/>
      <c r="D51" s="203"/>
      <c r="E51" s="203"/>
      <c r="F51" s="203"/>
      <c r="G51" s="203"/>
      <c r="H51" s="203"/>
      <c r="I51" s="203"/>
      <c r="J51" s="203"/>
      <c r="K51" s="203"/>
      <c r="L51" s="203"/>
      <c r="M51" s="394"/>
      <c r="N51" s="394"/>
    </row>
    <row r="52" spans="1:14">
      <c r="A52" s="203"/>
      <c r="B52" s="203"/>
      <c r="C52" s="203"/>
      <c r="D52" s="203"/>
      <c r="E52" s="203"/>
      <c r="F52" s="203"/>
      <c r="G52" s="394" t="s">
        <v>173</v>
      </c>
      <c r="H52" s="203"/>
      <c r="I52" s="203"/>
      <c r="J52" s="203"/>
      <c r="K52" s="203"/>
      <c r="L52" s="203"/>
      <c r="M52" s="203"/>
      <c r="N52" s="203"/>
    </row>
    <row r="53" spans="1:14">
      <c r="A53" s="203"/>
      <c r="B53" s="203"/>
      <c r="C53" s="203"/>
      <c r="D53" s="203"/>
      <c r="E53" s="203"/>
      <c r="F53" s="203"/>
      <c r="G53" s="394"/>
      <c r="H53" s="203"/>
      <c r="I53" s="203"/>
      <c r="J53" s="203"/>
      <c r="K53" s="203"/>
      <c r="L53" s="203"/>
      <c r="M53" s="203"/>
      <c r="N53" s="203"/>
    </row>
    <row r="54" spans="1:14">
      <c r="A54" s="203"/>
      <c r="B54" s="203"/>
      <c r="C54" s="203"/>
      <c r="D54" s="203"/>
      <c r="E54" s="203"/>
      <c r="F54" s="203"/>
      <c r="G54" s="394" t="s">
        <v>174</v>
      </c>
      <c r="H54" s="203"/>
      <c r="I54" s="203"/>
      <c r="J54" s="203"/>
      <c r="K54" s="203"/>
      <c r="L54" s="203"/>
      <c r="M54" s="203"/>
      <c r="N54" s="203"/>
    </row>
    <row r="55" spans="1:14">
      <c r="A55" s="203"/>
      <c r="B55" s="203"/>
      <c r="C55" s="203"/>
      <c r="D55" s="203"/>
      <c r="E55" s="203"/>
      <c r="F55" s="203"/>
      <c r="G55" s="394"/>
      <c r="H55" s="203"/>
      <c r="I55" s="203"/>
      <c r="J55" s="203"/>
      <c r="K55" s="203"/>
      <c r="L55" s="203"/>
      <c r="M55" s="203"/>
      <c r="N55" s="203"/>
    </row>
    <row r="56" spans="1:14">
      <c r="A56" s="203"/>
      <c r="B56" s="203"/>
      <c r="C56" s="203"/>
      <c r="D56" s="203"/>
      <c r="E56" s="203"/>
      <c r="F56" s="203"/>
      <c r="G56" s="172"/>
      <c r="H56" s="203"/>
      <c r="I56" s="203"/>
      <c r="J56" s="203"/>
      <c r="K56" s="203"/>
      <c r="L56" s="203"/>
      <c r="M56" s="203"/>
      <c r="N56" s="203"/>
    </row>
    <row r="57" spans="1:14">
      <c r="A57" s="203"/>
      <c r="B57" s="203"/>
      <c r="C57" s="203"/>
      <c r="D57" s="203"/>
      <c r="E57" s="203"/>
      <c r="F57" s="203"/>
      <c r="G57" s="203"/>
      <c r="H57" s="394"/>
      <c r="I57" s="394"/>
      <c r="J57" s="394"/>
      <c r="K57" s="394"/>
      <c r="L57" s="394"/>
      <c r="M57" s="203"/>
      <c r="N57" s="203"/>
    </row>
    <row r="58" spans="1:14">
      <c r="A58" s="203"/>
      <c r="B58" s="203"/>
      <c r="C58" s="203"/>
      <c r="D58" s="203"/>
      <c r="E58" s="203"/>
      <c r="F58" s="203"/>
      <c r="G58" s="203" t="s">
        <v>175</v>
      </c>
      <c r="H58" s="394"/>
      <c r="I58" s="394"/>
      <c r="J58" s="394"/>
      <c r="K58" s="394"/>
      <c r="L58" s="394"/>
      <c r="M58" s="203"/>
      <c r="N58" s="203"/>
    </row>
    <row r="59" spans="1:14" ht="105">
      <c r="A59" s="203"/>
      <c r="B59" s="203"/>
      <c r="C59" s="203"/>
      <c r="D59" s="203"/>
      <c r="E59" s="203"/>
      <c r="F59" s="203"/>
      <c r="G59" s="395" t="s">
        <v>176</v>
      </c>
      <c r="H59" s="394"/>
      <c r="I59" s="394"/>
      <c r="J59" s="394"/>
      <c r="K59" s="394"/>
      <c r="L59" s="394"/>
      <c r="M59" s="203"/>
      <c r="N59" s="203"/>
    </row>
    <row r="60" spans="1:14">
      <c r="A60" s="203"/>
      <c r="B60" s="203"/>
      <c r="C60" s="203"/>
      <c r="D60" s="203"/>
      <c r="E60" s="203"/>
      <c r="F60" s="203"/>
      <c r="G60" s="395"/>
      <c r="H60" s="394"/>
      <c r="I60" s="394"/>
      <c r="J60" s="394"/>
      <c r="K60" s="394"/>
      <c r="L60" s="394"/>
      <c r="M60" s="203"/>
      <c r="N60" s="203"/>
    </row>
    <row r="61" spans="1:14">
      <c r="A61" s="203"/>
      <c r="B61" s="203"/>
      <c r="C61" s="203"/>
      <c r="D61" s="203"/>
      <c r="E61" s="203"/>
      <c r="F61" s="203"/>
      <c r="G61" s="394" t="s">
        <v>177</v>
      </c>
      <c r="H61" s="203"/>
      <c r="I61" s="203"/>
      <c r="J61" s="203"/>
      <c r="K61" s="203"/>
      <c r="L61" s="203"/>
      <c r="M61" s="203"/>
      <c r="N61" s="203"/>
    </row>
  </sheetData>
  <mergeCells count="7">
    <mergeCell ref="A1:F1"/>
    <mergeCell ref="U2:V2"/>
    <mergeCell ref="A8:F8"/>
    <mergeCell ref="A31:F31"/>
    <mergeCell ref="A11:A17"/>
    <mergeCell ref="B11:B17"/>
    <mergeCell ref="A22:F22"/>
  </mergeCells>
  <pageMargins left="0.7" right="0.7" top="0.75" bottom="0.75" header="0.3" footer="0.3"/>
  <pageSetup orientation="portrait"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1"/>
  <sheetViews>
    <sheetView topLeftCell="A10" zoomScale="96" zoomScaleNormal="96" workbookViewId="0">
      <selection activeCell="A20" sqref="A20:F24"/>
    </sheetView>
  </sheetViews>
  <sheetFormatPr baseColWidth="10" defaultColWidth="11.42578125" defaultRowHeight="15"/>
  <cols>
    <col min="2" max="2" width="15.140625" bestFit="1" customWidth="1"/>
    <col min="6" max="6" width="13.42578125" bestFit="1" customWidth="1"/>
  </cols>
  <sheetData>
    <row r="1" spans="1:8">
      <c r="A1" s="531" t="str">
        <f>'Línea Leche de almendra'!D14</f>
        <v>Equipo: Ciclón</v>
      </c>
      <c r="B1" s="531"/>
      <c r="C1" s="531"/>
      <c r="D1" s="531"/>
      <c r="E1" s="531"/>
      <c r="F1" s="531"/>
      <c r="G1" s="203"/>
      <c r="H1" s="203"/>
    </row>
    <row r="2" spans="1:8" ht="30">
      <c r="A2" s="268" t="s">
        <v>26</v>
      </c>
      <c r="B2" s="268" t="s">
        <v>27</v>
      </c>
      <c r="C2" s="268" t="s">
        <v>2</v>
      </c>
      <c r="D2" s="268" t="s">
        <v>28</v>
      </c>
      <c r="E2" s="268" t="s">
        <v>29</v>
      </c>
      <c r="F2" s="268" t="s">
        <v>4</v>
      </c>
      <c r="G2" s="203"/>
      <c r="H2" s="203"/>
    </row>
    <row r="3" spans="1:8">
      <c r="A3" s="506" t="str">
        <f>'Línea Leche de almendra'!D16</f>
        <v>F3</v>
      </c>
      <c r="B3" s="506">
        <f>'Línea Leche de almendra'!E16</f>
        <v>2916.6199145036985</v>
      </c>
      <c r="C3" s="29" t="str">
        <f>'Línea Leche de almendra'!F16</f>
        <v>Pepa con antinutriente</v>
      </c>
      <c r="D3" s="29">
        <f>'Línea Leche de almendra'!G16</f>
        <v>0.37238743025135151</v>
      </c>
      <c r="E3" s="29">
        <f>'Línea Leche de almendra'!H16</f>
        <v>1086.1125949819489</v>
      </c>
      <c r="F3" s="29" t="str">
        <f>'Línea Leche de almendra'!I16</f>
        <v>[kg/semana]</v>
      </c>
      <c r="G3" s="203"/>
      <c r="H3" s="203"/>
    </row>
    <row r="4" spans="1:8">
      <c r="A4" s="506"/>
      <c r="B4" s="506"/>
      <c r="C4" s="29" t="str">
        <f>'Línea Leche de almendra'!F17</f>
        <v>Cáscara</v>
      </c>
      <c r="D4" s="29">
        <f>'Línea Leche de almendra'!G17</f>
        <v>0.6</v>
      </c>
      <c r="E4" s="29">
        <f>'Línea Leche de almendra'!H17</f>
        <v>1749.9719487022189</v>
      </c>
      <c r="F4" s="29" t="str">
        <f>'Línea Leche de almendra'!I17</f>
        <v>[kg/semana]</v>
      </c>
      <c r="G4" s="28">
        <f>B3</f>
        <v>2916.6199145036985</v>
      </c>
      <c r="H4" s="203"/>
    </row>
    <row r="5" spans="1:8">
      <c r="A5" s="506"/>
      <c r="B5" s="506"/>
      <c r="C5" s="29" t="str">
        <f>'Línea Leche de almendra'!F18</f>
        <v>piel</v>
      </c>
      <c r="D5" s="29">
        <f>'Línea Leche de almendra'!G18</f>
        <v>1.5612569748648464E-2</v>
      </c>
      <c r="E5" s="29">
        <f>'Línea Leche de almendra'!H18</f>
        <v>45.535931845486111</v>
      </c>
      <c r="F5" s="29" t="str">
        <f>'Línea Leche de almendra'!I18</f>
        <v>[kg/semana]</v>
      </c>
      <c r="G5" s="203"/>
      <c r="H5" s="203"/>
    </row>
    <row r="6" spans="1:8">
      <c r="A6" s="506"/>
      <c r="B6" s="506"/>
      <c r="C6" s="29" t="str">
        <f>'Línea Leche de almendra'!F19</f>
        <v>agua en pepa</v>
      </c>
      <c r="D6" s="29">
        <f>'Línea Leche de almendra'!G19</f>
        <v>1.2000000000000002E-2</v>
      </c>
      <c r="E6" s="29">
        <f>'Línea Leche de almendra'!H19</f>
        <v>34.999438974044388</v>
      </c>
      <c r="F6" s="29" t="str">
        <f>'Línea Leche de almendra'!I19</f>
        <v>[kg/semana]</v>
      </c>
      <c r="G6" s="203"/>
      <c r="H6" s="203"/>
    </row>
    <row r="7" spans="1:8" ht="30">
      <c r="A7" s="268" t="s">
        <v>26</v>
      </c>
      <c r="B7" s="268" t="s">
        <v>27</v>
      </c>
      <c r="C7" s="268" t="s">
        <v>2</v>
      </c>
      <c r="D7" s="268" t="s">
        <v>28</v>
      </c>
      <c r="E7" s="268" t="s">
        <v>29</v>
      </c>
      <c r="F7" s="268" t="s">
        <v>4</v>
      </c>
      <c r="G7" s="203"/>
      <c r="H7" s="203"/>
    </row>
    <row r="8" spans="1:8">
      <c r="A8" s="506" t="str">
        <f>'Línea Leche de almendra'!D21</f>
        <v>F4</v>
      </c>
      <c r="B8" s="506">
        <f>'Línea Leche de almendra'!E21</f>
        <v>1166.6479658014794</v>
      </c>
      <c r="C8" s="29" t="str">
        <f>'Línea Leche de almendra'!F21</f>
        <v>piel</v>
      </c>
      <c r="D8" s="29">
        <f>'Línea Leche de almendra'!G21</f>
        <v>3.903142437162116E-2</v>
      </c>
      <c r="E8" s="29">
        <f>'Línea Leche de almendra'!H21</f>
        <v>45.535931845486111</v>
      </c>
      <c r="F8" s="29" t="str">
        <f>'Línea Leche de almendra'!I21</f>
        <v>[kg/semana]</v>
      </c>
      <c r="G8" s="203"/>
      <c r="H8" s="203"/>
    </row>
    <row r="9" spans="1:8">
      <c r="A9" s="506"/>
      <c r="B9" s="506"/>
      <c r="C9" s="29" t="str">
        <f>'Línea Leche de almendra'!F22</f>
        <v>agua en pepa</v>
      </c>
      <c r="D9" s="29">
        <f>'Línea Leche de almendra'!G22</f>
        <v>3.0000000000000006E-2</v>
      </c>
      <c r="E9" s="29">
        <f>'Línea Leche de almendra'!H22</f>
        <v>34.999438974044388</v>
      </c>
      <c r="F9" s="29" t="str">
        <f>'Línea Leche de almendra'!I22</f>
        <v>[kg/semana]</v>
      </c>
      <c r="G9" s="28">
        <f>B8+B11</f>
        <v>2916.6199145036981</v>
      </c>
      <c r="H9" s="203"/>
    </row>
    <row r="10" spans="1:8">
      <c r="A10" s="506"/>
      <c r="B10" s="506"/>
      <c r="C10" s="29" t="str">
        <f>'Línea Leche de almendra'!F23</f>
        <v>Pepa con antinutriente</v>
      </c>
      <c r="D10" s="29">
        <f>'Línea Leche de almendra'!G23</f>
        <v>0.93096857562837887</v>
      </c>
      <c r="E10" s="29">
        <f>'Línea Leche de almendra'!H23</f>
        <v>1086.1125949819489</v>
      </c>
      <c r="F10" s="29" t="str">
        <f>'Línea Leche de almendra'!I23</f>
        <v>[kg/semana]</v>
      </c>
      <c r="G10" s="203"/>
      <c r="H10" s="203"/>
    </row>
    <row r="11" spans="1:8">
      <c r="A11" s="390" t="str">
        <f>'Línea Leche de almendra'!D24</f>
        <v>F5</v>
      </c>
      <c r="B11" s="269">
        <f>'Línea Leche de almendra'!E24</f>
        <v>1749.9719487022189</v>
      </c>
      <c r="C11" s="29" t="str">
        <f>'Línea Leche de almendra'!F24</f>
        <v>Cáscara</v>
      </c>
      <c r="D11" s="29">
        <f>'Línea Leche de almendra'!G24</f>
        <v>1</v>
      </c>
      <c r="E11" s="29">
        <f>'Línea Leche de almendra'!H24</f>
        <v>1749.9719487022189</v>
      </c>
      <c r="F11" s="29" t="str">
        <f>'Línea Leche de almendra'!I24</f>
        <v>[kg/semana]</v>
      </c>
      <c r="G11" s="203"/>
      <c r="H11" s="203"/>
    </row>
    <row r="13" spans="1:8">
      <c r="A13" s="531" t="s">
        <v>178</v>
      </c>
      <c r="B13" s="531"/>
      <c r="C13" s="531"/>
      <c r="D13" s="531"/>
      <c r="E13" s="531"/>
      <c r="F13" s="531"/>
      <c r="G13" s="203"/>
      <c r="H13" s="203"/>
    </row>
    <row r="14" spans="1:8" ht="30">
      <c r="A14" s="268" t="s">
        <v>26</v>
      </c>
      <c r="B14" s="268" t="s">
        <v>27</v>
      </c>
      <c r="C14" s="268" t="s">
        <v>2</v>
      </c>
      <c r="D14" s="268" t="s">
        <v>28</v>
      </c>
      <c r="E14" s="268" t="s">
        <v>29</v>
      </c>
      <c r="F14" s="268" t="s">
        <v>4</v>
      </c>
      <c r="G14" s="203"/>
      <c r="H14" s="203"/>
    </row>
    <row r="15" spans="1:8">
      <c r="A15" s="390" t="s">
        <v>95</v>
      </c>
      <c r="B15" s="269">
        <f>B11</f>
        <v>1749.9719487022189</v>
      </c>
      <c r="C15" s="29" t="str">
        <f>C11</f>
        <v>Cáscara</v>
      </c>
      <c r="D15" s="29">
        <v>1</v>
      </c>
      <c r="E15" s="29">
        <f>E11</f>
        <v>1749.9719487022189</v>
      </c>
      <c r="F15" s="29" t="str">
        <f>'Línea Leche de almendra'!I28</f>
        <v>[kg/semana]</v>
      </c>
      <c r="G15" s="28">
        <f>B15</f>
        <v>1749.9719487022189</v>
      </c>
      <c r="H15" s="203"/>
    </row>
    <row r="16" spans="1:8" ht="30">
      <c r="A16" s="268" t="s">
        <v>26</v>
      </c>
      <c r="B16" s="268" t="s">
        <v>27</v>
      </c>
      <c r="C16" s="268" t="s">
        <v>2</v>
      </c>
      <c r="D16" s="268" t="s">
        <v>28</v>
      </c>
      <c r="E16" s="268" t="s">
        <v>29</v>
      </c>
      <c r="F16" s="268" t="s">
        <v>4</v>
      </c>
      <c r="G16" s="203"/>
      <c r="H16" s="203"/>
    </row>
    <row r="17" spans="1:8" ht="30">
      <c r="A17" s="390" t="s">
        <v>179</v>
      </c>
      <c r="B17" s="390">
        <f>E17</f>
        <v>1399.9775589617752</v>
      </c>
      <c r="C17" s="270" t="s">
        <v>180</v>
      </c>
      <c r="D17" s="269">
        <v>1</v>
      </c>
      <c r="E17" s="269">
        <f>E15*0.8</f>
        <v>1399.9775589617752</v>
      </c>
      <c r="F17" s="29" t="str">
        <f>'Línea Leche de almendra'!I30</f>
        <v>[kg/semana]</v>
      </c>
      <c r="G17" s="28">
        <f>B17+B18</f>
        <v>1749.9719487022189</v>
      </c>
      <c r="H17" s="203"/>
    </row>
    <row r="18" spans="1:8" ht="30">
      <c r="A18" s="390" t="s">
        <v>181</v>
      </c>
      <c r="B18" s="390">
        <f>E18</f>
        <v>349.99438974044369</v>
      </c>
      <c r="C18" s="270" t="s">
        <v>182</v>
      </c>
      <c r="D18" s="269">
        <v>1</v>
      </c>
      <c r="E18" s="269">
        <f>E15-E17</f>
        <v>349.99438974044369</v>
      </c>
      <c r="F18" s="29" t="str">
        <f>'Línea Leche de almendra'!I31</f>
        <v>[kg/semana]</v>
      </c>
      <c r="G18" s="203"/>
      <c r="H18" s="203"/>
    </row>
    <row r="19" spans="1:8">
      <c r="A19" s="203"/>
      <c r="B19" s="394"/>
      <c r="C19" s="394"/>
      <c r="D19" s="394"/>
      <c r="E19" s="394"/>
      <c r="F19" s="394"/>
      <c r="G19" s="203"/>
      <c r="H19" s="203"/>
    </row>
    <row r="20" spans="1:8">
      <c r="A20" s="531" t="s">
        <v>183</v>
      </c>
      <c r="B20" s="531"/>
      <c r="C20" s="531"/>
      <c r="D20" s="531"/>
      <c r="E20" s="531"/>
      <c r="F20" s="531"/>
      <c r="G20" s="203"/>
      <c r="H20" s="203"/>
    </row>
    <row r="21" spans="1:8" ht="30">
      <c r="A21" s="268" t="s">
        <v>26</v>
      </c>
      <c r="B21" s="268" t="s">
        <v>27</v>
      </c>
      <c r="C21" s="268" t="s">
        <v>2</v>
      </c>
      <c r="D21" s="268" t="s">
        <v>28</v>
      </c>
      <c r="E21" s="268" t="s">
        <v>29</v>
      </c>
      <c r="F21" s="268" t="s">
        <v>4</v>
      </c>
      <c r="G21" s="203"/>
      <c r="H21" s="203"/>
    </row>
    <row r="22" spans="1:8" ht="30">
      <c r="A22" s="390" t="s">
        <v>179</v>
      </c>
      <c r="B22" s="390">
        <f>B17</f>
        <v>1399.9775589617752</v>
      </c>
      <c r="C22" s="270" t="s">
        <v>180</v>
      </c>
      <c r="D22" s="269">
        <v>1</v>
      </c>
      <c r="E22" s="269">
        <f>E17</f>
        <v>1399.9775589617752</v>
      </c>
      <c r="F22" s="29" t="s">
        <v>6</v>
      </c>
      <c r="G22" s="28">
        <f>B22</f>
        <v>1399.9775589617752</v>
      </c>
      <c r="H22" s="203"/>
    </row>
    <row r="23" spans="1:8" ht="30">
      <c r="A23" s="268" t="s">
        <v>26</v>
      </c>
      <c r="B23" s="268" t="s">
        <v>27</v>
      </c>
      <c r="C23" s="268" t="s">
        <v>2</v>
      </c>
      <c r="D23" s="268" t="s">
        <v>28</v>
      </c>
      <c r="E23" s="268" t="s">
        <v>29</v>
      </c>
      <c r="F23" s="268" t="s">
        <v>4</v>
      </c>
      <c r="G23" s="203"/>
      <c r="H23" s="203"/>
    </row>
    <row r="24" spans="1:8" ht="30">
      <c r="A24" s="390" t="s">
        <v>184</v>
      </c>
      <c r="B24" s="390">
        <f>E22</f>
        <v>1399.9775589617752</v>
      </c>
      <c r="C24" s="270" t="s">
        <v>11</v>
      </c>
      <c r="D24" s="269">
        <v>1</v>
      </c>
      <c r="E24" s="269">
        <f>B24</f>
        <v>1399.9775589617752</v>
      </c>
      <c r="F24" s="269" t="s">
        <v>6</v>
      </c>
      <c r="G24" s="359">
        <f>B24</f>
        <v>1399.9775589617752</v>
      </c>
      <c r="H24" s="394"/>
    </row>
    <row r="25" spans="1:8">
      <c r="A25" s="203"/>
      <c r="B25" s="203"/>
      <c r="C25" s="203"/>
      <c r="D25" s="203"/>
      <c r="E25" s="203"/>
      <c r="F25" s="203"/>
      <c r="G25" s="394"/>
      <c r="H25" s="394"/>
    </row>
    <row r="26" spans="1:8">
      <c r="A26" s="203"/>
      <c r="B26" s="203"/>
      <c r="C26" s="203"/>
      <c r="D26" s="203"/>
      <c r="E26" s="203"/>
      <c r="F26" s="203"/>
      <c r="G26" s="203"/>
      <c r="H26" s="203"/>
    </row>
    <row r="27" spans="1:8" ht="15" customHeight="1">
      <c r="A27" s="203"/>
      <c r="B27" s="203"/>
      <c r="C27" s="203"/>
      <c r="D27" s="203"/>
      <c r="E27" s="203"/>
      <c r="F27" s="203"/>
      <c r="G27" s="395"/>
      <c r="H27" s="395"/>
    </row>
    <row r="28" spans="1:8">
      <c r="A28" s="203"/>
      <c r="B28" s="394" t="s">
        <v>185</v>
      </c>
      <c r="C28" s="394"/>
      <c r="D28" s="203"/>
      <c r="E28" s="203"/>
      <c r="F28" s="203"/>
      <c r="G28" s="395"/>
      <c r="H28" s="395"/>
    </row>
    <row r="29" spans="1:8">
      <c r="A29" s="203"/>
      <c r="B29" s="394"/>
      <c r="C29" s="394"/>
      <c r="D29" s="203"/>
      <c r="E29" s="203"/>
      <c r="F29" s="203"/>
      <c r="G29" s="203"/>
      <c r="H29" s="203"/>
    </row>
    <row r="30" spans="1:8">
      <c r="A30" s="203"/>
      <c r="B30" s="203" t="s">
        <v>77</v>
      </c>
      <c r="C30" s="203"/>
      <c r="D30" s="203"/>
      <c r="E30" s="203"/>
      <c r="F30" s="203"/>
      <c r="G30" s="203"/>
      <c r="H30" s="203"/>
    </row>
    <row r="31" spans="1:8" ht="225">
      <c r="A31" s="203"/>
      <c r="B31" s="395" t="s">
        <v>186</v>
      </c>
      <c r="C31" s="395"/>
      <c r="D31" s="203"/>
      <c r="E31" s="203"/>
      <c r="F31" s="203"/>
      <c r="G31" s="203"/>
      <c r="H31" s="203"/>
    </row>
  </sheetData>
  <mergeCells count="7">
    <mergeCell ref="A13:F13"/>
    <mergeCell ref="A20:F20"/>
    <mergeCell ref="A1:F1"/>
    <mergeCell ref="A3:A6"/>
    <mergeCell ref="B3:B6"/>
    <mergeCell ref="A8:A10"/>
    <mergeCell ref="B8:B10"/>
  </mergeCells>
  <pageMargins left="0.7" right="0.7" top="0.75" bottom="0.75" header="0.3" footer="0.3"/>
  <pageSetup orientation="portrait"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0"/>
  <sheetViews>
    <sheetView zoomScale="87" zoomScaleNormal="60" workbookViewId="0">
      <selection activeCell="G3" sqref="G3"/>
    </sheetView>
  </sheetViews>
  <sheetFormatPr baseColWidth="10" defaultColWidth="11.42578125" defaultRowHeight="15"/>
  <cols>
    <col min="2" max="2" width="15.42578125" customWidth="1"/>
    <col min="3" max="3" width="14.28515625" customWidth="1"/>
    <col min="6" max="6" width="16" customWidth="1"/>
  </cols>
  <sheetData>
    <row r="1" spans="1:7">
      <c r="A1" s="534" t="s">
        <v>187</v>
      </c>
      <c r="B1" s="534"/>
      <c r="C1" s="534"/>
      <c r="D1" s="534"/>
      <c r="E1" s="534"/>
      <c r="F1" s="534"/>
      <c r="G1" s="203"/>
    </row>
    <row r="2" spans="1:7" ht="30">
      <c r="A2" s="271" t="s">
        <v>26</v>
      </c>
      <c r="B2" s="271" t="s">
        <v>27</v>
      </c>
      <c r="C2" s="271" t="s">
        <v>2</v>
      </c>
      <c r="D2" s="271" t="s">
        <v>28</v>
      </c>
      <c r="E2" s="271" t="s">
        <v>29</v>
      </c>
      <c r="F2" s="271" t="s">
        <v>4</v>
      </c>
      <c r="G2" s="203"/>
    </row>
    <row r="3" spans="1:7">
      <c r="A3" s="277" t="s">
        <v>188</v>
      </c>
      <c r="B3" s="277">
        <f>SUM(E3:E3)</f>
        <v>16754.068265525257</v>
      </c>
      <c r="C3" s="272" t="s">
        <v>12</v>
      </c>
      <c r="D3" s="272">
        <f>E3/B3</f>
        <v>1</v>
      </c>
      <c r="E3" s="272">
        <f>E6+E5</f>
        <v>16754.068265525257</v>
      </c>
      <c r="F3" s="272" t="s">
        <v>6</v>
      </c>
      <c r="G3" s="28"/>
    </row>
    <row r="4" spans="1:7" ht="30">
      <c r="A4" s="271" t="s">
        <v>26</v>
      </c>
      <c r="B4" s="271" t="s">
        <v>27</v>
      </c>
      <c r="C4" s="271" t="s">
        <v>2</v>
      </c>
      <c r="D4" s="271" t="s">
        <v>28</v>
      </c>
      <c r="E4" s="271" t="s">
        <v>29</v>
      </c>
      <c r="F4" s="271" t="s">
        <v>4</v>
      </c>
      <c r="G4" s="203"/>
    </row>
    <row r="5" spans="1:7">
      <c r="A5" s="273" t="s">
        <v>189</v>
      </c>
      <c r="B5" s="275">
        <f>E5</f>
        <v>29.936196403727536</v>
      </c>
      <c r="C5" s="276" t="s">
        <v>19</v>
      </c>
      <c r="D5" s="272">
        <v>1</v>
      </c>
      <c r="E5" s="272">
        <f>E6*0.00179</f>
        <v>29.936196403727536</v>
      </c>
      <c r="F5" s="272" t="s">
        <v>6</v>
      </c>
      <c r="G5" s="203"/>
    </row>
    <row r="6" spans="1:7" ht="30">
      <c r="A6" s="273" t="s">
        <v>190</v>
      </c>
      <c r="B6" s="275">
        <f>E6</f>
        <v>16724.13206912153</v>
      </c>
      <c r="C6" s="276" t="s">
        <v>191</v>
      </c>
      <c r="D6" s="272">
        <v>1</v>
      </c>
      <c r="E6" s="272">
        <f>E10</f>
        <v>16724.13206912153</v>
      </c>
      <c r="F6" s="272" t="s">
        <v>6</v>
      </c>
      <c r="G6" s="28"/>
    </row>
    <row r="8" spans="1:7">
      <c r="A8" s="534" t="s">
        <v>192</v>
      </c>
      <c r="B8" s="534"/>
      <c r="C8" s="534"/>
      <c r="D8" s="534"/>
      <c r="E8" s="534"/>
      <c r="F8" s="534"/>
      <c r="G8" s="203"/>
    </row>
    <row r="9" spans="1:7" ht="30">
      <c r="A9" s="271" t="s">
        <v>26</v>
      </c>
      <c r="B9" s="271" t="s">
        <v>27</v>
      </c>
      <c r="C9" s="271" t="s">
        <v>2</v>
      </c>
      <c r="D9" s="271" t="s">
        <v>28</v>
      </c>
      <c r="E9" s="271" t="s">
        <v>29</v>
      </c>
      <c r="F9" s="271" t="s">
        <v>4</v>
      </c>
      <c r="G9" s="203"/>
    </row>
    <row r="10" spans="1:7" ht="30">
      <c r="A10" s="273" t="s">
        <v>190</v>
      </c>
      <c r="B10" s="273">
        <f>E10</f>
        <v>16724.13206912153</v>
      </c>
      <c r="C10" s="278" t="s">
        <v>191</v>
      </c>
      <c r="D10" s="274">
        <v>1</v>
      </c>
      <c r="E10" s="274">
        <f>E13-E11</f>
        <v>16724.13206912153</v>
      </c>
      <c r="F10" s="274" t="s">
        <v>6</v>
      </c>
      <c r="G10" s="28"/>
    </row>
    <row r="11" spans="1:7" s="203" customFormat="1" ht="30">
      <c r="A11" s="273" t="s">
        <v>193</v>
      </c>
      <c r="B11" s="273">
        <f>E11</f>
        <v>925.9218274121572</v>
      </c>
      <c r="C11" s="278" t="s">
        <v>194</v>
      </c>
      <c r="D11" s="274">
        <v>1</v>
      </c>
      <c r="E11" s="274">
        <f>(E13*52.46)/1000</f>
        <v>925.9218274121572</v>
      </c>
      <c r="F11" s="274" t="s">
        <v>6</v>
      </c>
    </row>
    <row r="12" spans="1:7" ht="30">
      <c r="A12" s="271" t="s">
        <v>26</v>
      </c>
      <c r="B12" s="271" t="s">
        <v>27</v>
      </c>
      <c r="C12" s="271" t="s">
        <v>2</v>
      </c>
      <c r="D12" s="271" t="s">
        <v>28</v>
      </c>
      <c r="E12" s="271" t="s">
        <v>29</v>
      </c>
      <c r="F12" s="271" t="s">
        <v>4</v>
      </c>
      <c r="G12" s="203"/>
    </row>
    <row r="13" spans="1:7" ht="30">
      <c r="A13" s="273" t="s">
        <v>195</v>
      </c>
      <c r="B13" s="273">
        <f>E13</f>
        <v>17650.053896533685</v>
      </c>
      <c r="C13" s="278" t="s">
        <v>196</v>
      </c>
      <c r="D13" s="274">
        <v>1</v>
      </c>
      <c r="E13" s="274">
        <f>'Línea Leche de almendra'!H31+'Línea Leche de almendra'!P5+'Linea de Queso de Almendra'!E26</f>
        <v>17650.053896533685</v>
      </c>
      <c r="F13" s="274" t="s">
        <v>6</v>
      </c>
      <c r="G13" s="28"/>
    </row>
    <row r="14" spans="1:7">
      <c r="A14" s="203"/>
      <c r="B14" s="203"/>
      <c r="C14" s="203"/>
      <c r="D14" s="240"/>
      <c r="E14" s="203"/>
      <c r="F14" s="203"/>
      <c r="G14" s="203"/>
    </row>
    <row r="18" spans="3:18">
      <c r="C18" s="203"/>
      <c r="D18" s="203"/>
      <c r="E18" s="203"/>
      <c r="F18" s="28"/>
      <c r="G18" s="28"/>
      <c r="H18" s="203"/>
      <c r="I18" s="203"/>
      <c r="J18" s="203"/>
      <c r="K18" s="203"/>
      <c r="L18" s="203"/>
      <c r="M18" s="203"/>
      <c r="N18" s="203"/>
      <c r="O18" s="203"/>
      <c r="P18" s="203"/>
      <c r="Q18" s="203"/>
      <c r="R18" s="203"/>
    </row>
    <row r="21" spans="3:18">
      <c r="C21" s="203"/>
      <c r="D21" s="203"/>
      <c r="E21" s="203"/>
      <c r="F21" s="203"/>
      <c r="G21" s="203"/>
      <c r="H21" s="203"/>
      <c r="I21" s="203"/>
      <c r="J21" s="203"/>
      <c r="K21" s="203"/>
      <c r="L21" s="203"/>
      <c r="M21" s="203"/>
      <c r="N21" s="203"/>
      <c r="O21" s="203"/>
      <c r="P21" s="203"/>
      <c r="Q21" s="203"/>
      <c r="R21" s="203"/>
    </row>
    <row r="23" spans="3:18">
      <c r="C23" s="203"/>
      <c r="D23" s="203"/>
      <c r="E23" s="203"/>
      <c r="F23" s="203"/>
      <c r="G23" s="203"/>
      <c r="H23" s="203"/>
      <c r="I23" s="203"/>
      <c r="J23" s="203"/>
      <c r="K23" s="203"/>
      <c r="L23" s="203"/>
      <c r="M23" s="203" t="s">
        <v>172</v>
      </c>
      <c r="N23" s="203"/>
      <c r="O23" s="203"/>
      <c r="P23" s="203"/>
      <c r="Q23" s="203"/>
      <c r="R23" s="203"/>
    </row>
    <row r="24" spans="3:18">
      <c r="C24" s="203"/>
      <c r="D24" s="203"/>
      <c r="E24" s="203"/>
      <c r="F24" s="203"/>
      <c r="G24" s="203"/>
      <c r="H24" s="203"/>
      <c r="I24" s="203"/>
      <c r="J24" s="203"/>
      <c r="K24" s="203"/>
      <c r="L24" s="203"/>
      <c r="M24" s="532" t="s">
        <v>197</v>
      </c>
      <c r="N24" s="532"/>
      <c r="O24" s="532"/>
      <c r="P24" s="532"/>
      <c r="Q24" s="532"/>
      <c r="R24" s="532"/>
    </row>
    <row r="25" spans="3:18">
      <c r="C25" s="203"/>
      <c r="D25" s="203"/>
      <c r="E25" s="203"/>
      <c r="F25" s="203"/>
      <c r="G25" s="203"/>
      <c r="H25" s="203"/>
      <c r="I25" s="203"/>
      <c r="J25" s="203"/>
      <c r="K25" s="203"/>
      <c r="L25" s="203"/>
      <c r="M25" s="532"/>
      <c r="N25" s="532"/>
      <c r="O25" s="532"/>
      <c r="P25" s="532"/>
      <c r="Q25" s="532"/>
      <c r="R25" s="532"/>
    </row>
    <row r="26" spans="3:18">
      <c r="C26" s="203"/>
      <c r="D26" s="203"/>
      <c r="E26" s="203"/>
      <c r="F26" s="203"/>
      <c r="G26" s="203"/>
      <c r="H26" s="203"/>
      <c r="I26" s="203"/>
      <c r="J26" s="203"/>
      <c r="K26" s="203"/>
      <c r="L26" s="203"/>
      <c r="M26" s="532" t="s">
        <v>198</v>
      </c>
      <c r="N26" s="532"/>
      <c r="O26" s="532"/>
      <c r="P26" s="532"/>
      <c r="Q26" s="532"/>
      <c r="R26" s="532"/>
    </row>
    <row r="27" spans="3:18">
      <c r="C27" s="203"/>
      <c r="D27" s="203"/>
      <c r="E27" s="203"/>
      <c r="F27" s="203"/>
      <c r="G27" s="203"/>
      <c r="H27" s="203"/>
      <c r="I27" s="203"/>
      <c r="J27" s="203"/>
      <c r="K27" s="203"/>
      <c r="L27" s="203"/>
      <c r="M27" s="532"/>
      <c r="N27" s="532"/>
      <c r="O27" s="532"/>
      <c r="P27" s="532"/>
      <c r="Q27" s="532"/>
      <c r="R27" s="532"/>
    </row>
    <row r="28" spans="3:18">
      <c r="C28" s="203"/>
      <c r="D28" s="203"/>
      <c r="E28" s="203"/>
      <c r="F28" s="203"/>
      <c r="G28" s="203"/>
      <c r="H28" s="203"/>
      <c r="I28" s="203"/>
      <c r="J28" s="203"/>
      <c r="K28" s="203"/>
      <c r="L28" s="203"/>
      <c r="M28" s="203" t="s">
        <v>77</v>
      </c>
      <c r="N28" s="203"/>
      <c r="O28" s="203"/>
      <c r="P28" s="203"/>
      <c r="Q28" s="203"/>
      <c r="R28" s="203"/>
    </row>
    <row r="29" spans="3:18">
      <c r="C29" s="203"/>
      <c r="D29" s="203"/>
      <c r="E29" s="203"/>
      <c r="F29" s="203"/>
      <c r="G29" s="203"/>
      <c r="H29" s="203"/>
      <c r="I29" s="203"/>
      <c r="J29" s="203"/>
      <c r="K29" s="203"/>
      <c r="L29" s="203"/>
      <c r="M29" s="533" t="s">
        <v>199</v>
      </c>
      <c r="N29" s="533"/>
      <c r="O29" s="533"/>
      <c r="P29" s="533"/>
      <c r="Q29" s="533"/>
      <c r="R29" s="533"/>
    </row>
    <row r="30" spans="3:18">
      <c r="C30" s="203"/>
      <c r="D30" s="203"/>
      <c r="E30" s="203"/>
      <c r="F30" s="203"/>
      <c r="G30" s="203"/>
      <c r="H30" s="203"/>
      <c r="I30" s="203"/>
      <c r="J30" s="203"/>
      <c r="K30" s="203"/>
      <c r="L30" s="203"/>
      <c r="M30" s="533"/>
      <c r="N30" s="533"/>
      <c r="O30" s="533"/>
      <c r="P30" s="533"/>
      <c r="Q30" s="533"/>
      <c r="R30" s="533"/>
    </row>
  </sheetData>
  <mergeCells count="5">
    <mergeCell ref="M24:R25"/>
    <mergeCell ref="M26:R27"/>
    <mergeCell ref="M29:R30"/>
    <mergeCell ref="A1:F1"/>
    <mergeCell ref="A8:F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8"/>
  <sheetViews>
    <sheetView topLeftCell="A16" zoomScale="87" zoomScaleNormal="87" workbookViewId="0">
      <selection activeCell="A22" sqref="A22"/>
    </sheetView>
  </sheetViews>
  <sheetFormatPr baseColWidth="10" defaultColWidth="11.42578125" defaultRowHeight="15"/>
  <cols>
    <col min="1" max="1" width="62.42578125" customWidth="1"/>
    <col min="2" max="2" width="13.85546875" customWidth="1"/>
    <col min="3" max="3" width="13.140625" customWidth="1"/>
    <col min="5" max="5" width="77.42578125" customWidth="1"/>
  </cols>
  <sheetData>
    <row r="1" spans="1:13">
      <c r="A1" s="541" t="s">
        <v>75</v>
      </c>
      <c r="B1" s="541"/>
      <c r="C1" s="541"/>
      <c r="D1" s="3"/>
      <c r="E1" s="539" t="s">
        <v>200</v>
      </c>
      <c r="F1" s="540"/>
      <c r="G1" s="540"/>
      <c r="H1" s="203"/>
      <c r="I1" s="203"/>
      <c r="J1" s="203"/>
      <c r="K1" s="203"/>
      <c r="L1" s="203"/>
      <c r="M1" s="203"/>
    </row>
    <row r="2" spans="1:13">
      <c r="A2" s="541"/>
      <c r="B2" s="541"/>
      <c r="C2" s="541"/>
      <c r="D2" s="3"/>
      <c r="E2" s="540"/>
      <c r="F2" s="540"/>
      <c r="G2" s="540"/>
      <c r="H2" s="203"/>
      <c r="I2" s="203"/>
      <c r="J2" s="203"/>
      <c r="K2" s="203"/>
      <c r="L2" s="203"/>
      <c r="M2" s="203"/>
    </row>
    <row r="3" spans="1:13">
      <c r="A3" s="541"/>
      <c r="B3" s="541"/>
      <c r="C3" s="541"/>
      <c r="D3" s="3"/>
      <c r="E3" s="540"/>
      <c r="F3" s="540"/>
      <c r="G3" s="540"/>
      <c r="H3" s="203"/>
      <c r="I3" s="203"/>
      <c r="J3" s="203"/>
      <c r="K3" s="203"/>
      <c r="L3" s="203"/>
      <c r="M3" s="203"/>
    </row>
    <row r="4" spans="1:13">
      <c r="A4" s="541"/>
      <c r="B4" s="541"/>
      <c r="C4" s="541"/>
      <c r="D4" s="3"/>
      <c r="E4" s="540"/>
      <c r="F4" s="540"/>
      <c r="G4" s="540"/>
      <c r="H4" s="203"/>
      <c r="I4" s="203"/>
      <c r="J4" s="203"/>
      <c r="K4" s="203"/>
      <c r="L4" s="203"/>
      <c r="M4" s="203"/>
    </row>
    <row r="5" spans="1:13">
      <c r="A5" s="541"/>
      <c r="B5" s="541"/>
      <c r="C5" s="541"/>
      <c r="D5" s="3"/>
      <c r="E5" s="540"/>
      <c r="F5" s="540"/>
      <c r="G5" s="540"/>
      <c r="H5" s="203"/>
      <c r="I5" s="203"/>
      <c r="J5" s="203"/>
      <c r="K5" s="203"/>
      <c r="L5" s="203"/>
      <c r="M5" s="203"/>
    </row>
    <row r="6" spans="1:13" ht="15.75">
      <c r="A6" s="541"/>
      <c r="B6" s="541"/>
      <c r="C6" s="541"/>
      <c r="D6" s="3"/>
      <c r="E6" s="5"/>
      <c r="F6" s="2"/>
      <c r="G6" s="2"/>
      <c r="H6" s="203"/>
      <c r="I6" s="203"/>
      <c r="J6" s="203"/>
      <c r="K6" s="203"/>
      <c r="L6" s="203"/>
      <c r="M6" s="203"/>
    </row>
    <row r="7" spans="1:13">
      <c r="A7" s="541"/>
      <c r="B7" s="541"/>
      <c r="C7" s="541"/>
      <c r="D7" s="3"/>
      <c r="E7" s="539" t="s">
        <v>201</v>
      </c>
      <c r="F7" s="540"/>
      <c r="G7" s="540"/>
      <c r="H7" s="203"/>
      <c r="I7" s="203"/>
      <c r="J7" s="203"/>
      <c r="K7" s="203"/>
      <c r="L7" s="203"/>
      <c r="M7" s="203"/>
    </row>
    <row r="8" spans="1:13">
      <c r="A8" s="541"/>
      <c r="B8" s="541"/>
      <c r="C8" s="541"/>
      <c r="D8" s="3"/>
      <c r="E8" s="540"/>
      <c r="F8" s="540"/>
      <c r="G8" s="540"/>
      <c r="H8" s="203"/>
      <c r="I8" s="203"/>
      <c r="J8" s="203"/>
      <c r="K8" s="203"/>
      <c r="L8" s="203"/>
      <c r="M8" s="203"/>
    </row>
    <row r="9" spans="1:13">
      <c r="A9" s="541"/>
      <c r="B9" s="541"/>
      <c r="C9" s="541"/>
      <c r="D9" s="3"/>
      <c r="E9" s="540"/>
      <c r="F9" s="540"/>
      <c r="G9" s="540"/>
      <c r="H9" s="203"/>
      <c r="I9" s="203"/>
      <c r="J9" s="203"/>
      <c r="K9" s="203"/>
      <c r="L9" s="203"/>
      <c r="M9" s="203"/>
    </row>
    <row r="10" spans="1:13">
      <c r="A10" s="541"/>
      <c r="B10" s="541"/>
      <c r="C10" s="541"/>
      <c r="D10" s="3"/>
      <c r="E10" s="540"/>
      <c r="F10" s="540"/>
      <c r="G10" s="540"/>
      <c r="H10" s="203"/>
      <c r="I10" s="203"/>
      <c r="J10" s="203"/>
      <c r="K10" s="203"/>
      <c r="L10" s="203"/>
      <c r="M10" s="203"/>
    </row>
    <row r="11" spans="1:13">
      <c r="A11" s="541"/>
      <c r="B11" s="541"/>
      <c r="C11" s="541"/>
      <c r="D11" s="3"/>
      <c r="E11" s="540"/>
      <c r="F11" s="540"/>
      <c r="G11" s="540"/>
      <c r="H11" s="203"/>
      <c r="I11" s="203"/>
      <c r="J11" s="203"/>
      <c r="K11" s="203"/>
      <c r="L11" s="203"/>
      <c r="M11" s="203"/>
    </row>
    <row r="12" spans="1:13" ht="15.75">
      <c r="A12" s="541"/>
      <c r="B12" s="541"/>
      <c r="C12" s="541"/>
      <c r="D12" s="3"/>
      <c r="E12" s="5"/>
      <c r="F12" s="2"/>
      <c r="G12" s="2"/>
      <c r="H12" s="203"/>
      <c r="I12" s="203"/>
      <c r="J12" s="203"/>
      <c r="K12" s="203"/>
      <c r="L12" s="203"/>
      <c r="M12" s="203"/>
    </row>
    <row r="13" spans="1:13" ht="16.5" thickBot="1">
      <c r="A13" s="541"/>
      <c r="B13" s="541"/>
      <c r="C13" s="541"/>
      <c r="D13" s="3"/>
      <c r="E13" s="5"/>
      <c r="F13" s="2"/>
      <c r="G13" s="2"/>
      <c r="H13" s="203"/>
      <c r="I13" s="203"/>
      <c r="J13" s="203"/>
      <c r="K13" s="203"/>
      <c r="L13" s="203"/>
      <c r="M13" s="203"/>
    </row>
    <row r="14" spans="1:13" ht="15.75">
      <c r="A14" s="536" t="s">
        <v>202</v>
      </c>
      <c r="B14" s="537"/>
      <c r="C14" s="537"/>
      <c r="D14" s="537"/>
      <c r="E14" s="537"/>
      <c r="F14" s="538"/>
      <c r="G14" s="2"/>
      <c r="H14" s="203"/>
      <c r="I14" s="535" t="s">
        <v>203</v>
      </c>
      <c r="J14" s="535"/>
      <c r="K14" s="535"/>
      <c r="L14" s="535"/>
      <c r="M14" s="535"/>
    </row>
    <row r="15" spans="1:13" ht="15.75">
      <c r="A15" s="39" t="s">
        <v>204</v>
      </c>
      <c r="B15" s="40" t="s">
        <v>205</v>
      </c>
      <c r="C15" s="41" t="s">
        <v>206</v>
      </c>
      <c r="D15" s="40" t="s">
        <v>207</v>
      </c>
      <c r="E15" s="42" t="s">
        <v>172</v>
      </c>
      <c r="F15" s="23" t="s">
        <v>208</v>
      </c>
      <c r="G15" s="2"/>
      <c r="H15" s="203"/>
      <c r="I15" s="148" t="s">
        <v>209</v>
      </c>
      <c r="J15" s="148" t="s">
        <v>210</v>
      </c>
      <c r="K15" s="149" t="s">
        <v>209</v>
      </c>
      <c r="L15" s="148" t="s">
        <v>211</v>
      </c>
      <c r="M15" s="148" t="s">
        <v>212</v>
      </c>
    </row>
    <row r="16" spans="1:13" ht="15.75">
      <c r="A16" s="36" t="s">
        <v>213</v>
      </c>
      <c r="B16" s="44" t="s">
        <v>53</v>
      </c>
      <c r="C16" s="45">
        <f>'Línea Leche de almendra'!E16:E19</f>
        <v>2916.6199145036985</v>
      </c>
      <c r="D16" s="44" t="s">
        <v>6</v>
      </c>
      <c r="E16" s="44" t="s">
        <v>94</v>
      </c>
      <c r="F16" s="38" t="s">
        <v>94</v>
      </c>
      <c r="G16" s="2"/>
      <c r="H16" s="203"/>
      <c r="I16" s="32" t="s">
        <v>214</v>
      </c>
      <c r="J16" s="32">
        <v>0</v>
      </c>
      <c r="K16" s="32">
        <f>SQRT(0.01*0.125)</f>
        <v>3.5355339059327376E-2</v>
      </c>
      <c r="L16" s="32">
        <f t="shared" ref="L16:L23" si="0">J16/(K16)^3</f>
        <v>0</v>
      </c>
      <c r="M16" s="32">
        <f t="shared" ref="M16:M23" si="1">L16/$L$24</f>
        <v>0</v>
      </c>
    </row>
    <row r="17" spans="1:13" ht="15.75">
      <c r="A17" s="36" t="s">
        <v>215</v>
      </c>
      <c r="B17" s="44" t="s">
        <v>87</v>
      </c>
      <c r="C17" s="45">
        <f>SUM('Línea Leche de almendra'!H21:H23)</f>
        <v>1166.6479658014794</v>
      </c>
      <c r="D17" s="44" t="s">
        <v>6</v>
      </c>
      <c r="E17" s="44" t="s">
        <v>94</v>
      </c>
      <c r="F17" s="412" t="s">
        <v>94</v>
      </c>
      <c r="G17" s="203"/>
      <c r="H17" s="203"/>
      <c r="I17" s="32" t="s">
        <v>216</v>
      </c>
      <c r="J17" s="32">
        <v>0</v>
      </c>
      <c r="K17" s="32">
        <f>SQRT(0.125*0.25)</f>
        <v>0.17677669529663689</v>
      </c>
      <c r="L17" s="32">
        <f t="shared" si="0"/>
        <v>0</v>
      </c>
      <c r="M17" s="32">
        <f t="shared" si="1"/>
        <v>0</v>
      </c>
    </row>
    <row r="18" spans="1:13" ht="15.75">
      <c r="A18" s="36" t="s">
        <v>217</v>
      </c>
      <c r="B18" s="44" t="s">
        <v>95</v>
      </c>
      <c r="C18" s="45">
        <f>'Línea Leche de almendra'!H24</f>
        <v>1749.9719487022189</v>
      </c>
      <c r="D18" s="44" t="s">
        <v>6</v>
      </c>
      <c r="E18" s="44" t="s">
        <v>94</v>
      </c>
      <c r="F18" s="412" t="s">
        <v>94</v>
      </c>
      <c r="G18" s="203"/>
      <c r="H18" s="203"/>
      <c r="I18" s="32" t="s">
        <v>218</v>
      </c>
      <c r="J18" s="32">
        <v>0</v>
      </c>
      <c r="K18" s="32">
        <f>SQRT(0.25*0.5)</f>
        <v>0.35355339059327379</v>
      </c>
      <c r="L18" s="32">
        <f t="shared" si="0"/>
        <v>0</v>
      </c>
      <c r="M18" s="32">
        <f t="shared" si="1"/>
        <v>0</v>
      </c>
    </row>
    <row r="19" spans="1:13" ht="18.75">
      <c r="A19" s="33" t="s">
        <v>219</v>
      </c>
      <c r="B19" s="35" t="s">
        <v>220</v>
      </c>
      <c r="C19" s="44" t="s">
        <v>221</v>
      </c>
      <c r="D19" s="35" t="s">
        <v>222</v>
      </c>
      <c r="E19" s="35" t="s">
        <v>223</v>
      </c>
      <c r="F19" s="412" t="s">
        <v>224</v>
      </c>
      <c r="G19" s="203"/>
      <c r="H19" s="203"/>
      <c r="I19" s="32" t="s">
        <v>225</v>
      </c>
      <c r="J19" s="32">
        <v>0</v>
      </c>
      <c r="K19" s="32">
        <f>SQRT(0.5*1)</f>
        <v>0.70710678118654757</v>
      </c>
      <c r="L19" s="32">
        <f t="shared" si="0"/>
        <v>0</v>
      </c>
      <c r="M19" s="32">
        <f t="shared" si="1"/>
        <v>0</v>
      </c>
    </row>
    <row r="20" spans="1:13" ht="18.75">
      <c r="A20" s="37" t="s">
        <v>226</v>
      </c>
      <c r="B20" s="35" t="s">
        <v>227</v>
      </c>
      <c r="C20" s="44">
        <f>((K20*M20)+(K21*M21)+(K22*M22)+(K23*M23))/1000</f>
        <v>2.4804157993264849E-3</v>
      </c>
      <c r="D20" s="413" t="s">
        <v>228</v>
      </c>
      <c r="E20" s="414" t="s">
        <v>229</v>
      </c>
      <c r="F20" s="412" t="s">
        <v>230</v>
      </c>
      <c r="G20" s="203"/>
      <c r="H20" s="203"/>
      <c r="I20" s="145" t="s">
        <v>231</v>
      </c>
      <c r="J20" s="32">
        <v>4</v>
      </c>
      <c r="K20" s="32">
        <f>SQRT(1*2)</f>
        <v>1.4142135623730951</v>
      </c>
      <c r="L20" s="32">
        <f t="shared" si="0"/>
        <v>1.4142135623730947</v>
      </c>
      <c r="M20" s="32">
        <f t="shared" si="1"/>
        <v>0.43976809104573755</v>
      </c>
    </row>
    <row r="21" spans="1:13" ht="18.75">
      <c r="A21" s="33" t="s">
        <v>232</v>
      </c>
      <c r="B21" s="414" t="s">
        <v>233</v>
      </c>
      <c r="C21" s="413">
        <f>C16/5/1/3600*1000</f>
        <v>162.03443969464993</v>
      </c>
      <c r="D21" s="414" t="s">
        <v>234</v>
      </c>
      <c r="E21" s="414" t="s">
        <v>235</v>
      </c>
      <c r="F21" s="412" t="s">
        <v>94</v>
      </c>
      <c r="G21" s="203"/>
      <c r="H21" s="203"/>
      <c r="I21" s="145" t="s">
        <v>236</v>
      </c>
      <c r="J21" s="32">
        <v>34</v>
      </c>
      <c r="K21" s="32">
        <f>SQRT(2*4)</f>
        <v>2.8284271247461903</v>
      </c>
      <c r="L21" s="32">
        <f t="shared" si="0"/>
        <v>1.5026019100214132</v>
      </c>
      <c r="M21" s="32">
        <f t="shared" si="1"/>
        <v>0.46725359673609618</v>
      </c>
    </row>
    <row r="22" spans="1:13" ht="15.75">
      <c r="A22" s="33" t="s">
        <v>237</v>
      </c>
      <c r="B22" s="58" t="s">
        <v>238</v>
      </c>
      <c r="C22" s="415">
        <v>1.872E-5</v>
      </c>
      <c r="D22" s="414" t="s">
        <v>239</v>
      </c>
      <c r="E22" s="414" t="s">
        <v>240</v>
      </c>
      <c r="F22" s="416" t="s">
        <v>102</v>
      </c>
      <c r="G22" s="203"/>
      <c r="H22" s="203"/>
      <c r="I22" s="145" t="s">
        <v>241</v>
      </c>
      <c r="J22" s="32">
        <v>53</v>
      </c>
      <c r="K22" s="32">
        <f>SQRT(4*8)</f>
        <v>5.6568542494923806</v>
      </c>
      <c r="L22" s="32">
        <f t="shared" si="0"/>
        <v>0.29278640158505476</v>
      </c>
      <c r="M22" s="32">
        <f t="shared" si="1"/>
        <v>9.1045737599312851E-2</v>
      </c>
    </row>
    <row r="23" spans="1:13" ht="18.75">
      <c r="A23" s="37" t="s">
        <v>242</v>
      </c>
      <c r="B23" s="58" t="s">
        <v>243</v>
      </c>
      <c r="C23" s="413">
        <v>1.1639999999999999</v>
      </c>
      <c r="D23" s="414" t="s">
        <v>244</v>
      </c>
      <c r="E23" s="414" t="s">
        <v>240</v>
      </c>
      <c r="F23" s="416" t="s">
        <v>102</v>
      </c>
      <c r="G23" s="203"/>
      <c r="H23" s="203"/>
      <c r="I23" s="32" t="s">
        <v>245</v>
      </c>
      <c r="J23" s="32">
        <v>9</v>
      </c>
      <c r="K23" s="32">
        <f>SQRT(8*16)</f>
        <v>11.313708498984761</v>
      </c>
      <c r="L23" s="32">
        <f t="shared" si="0"/>
        <v>6.2148056940223894E-3</v>
      </c>
      <c r="M23" s="32">
        <f t="shared" si="1"/>
        <v>1.9325746188533391E-3</v>
      </c>
    </row>
    <row r="24" spans="1:13" ht="19.5" thickBot="1">
      <c r="A24" s="43" t="s">
        <v>246</v>
      </c>
      <c r="B24" s="417" t="s">
        <v>247</v>
      </c>
      <c r="C24" s="418">
        <v>1460</v>
      </c>
      <c r="D24" s="417" t="s">
        <v>244</v>
      </c>
      <c r="E24" s="419" t="s">
        <v>94</v>
      </c>
      <c r="F24" s="420" t="s">
        <v>230</v>
      </c>
      <c r="G24" s="203"/>
      <c r="H24" s="203"/>
      <c r="I24" s="203"/>
      <c r="J24" s="203"/>
      <c r="K24" s="203"/>
      <c r="L24" s="32">
        <f>SUM(L16:L23)</f>
        <v>3.2158166796735852</v>
      </c>
      <c r="M24" s="32">
        <f>SUM(M20:M23)</f>
        <v>1</v>
      </c>
    </row>
    <row r="25" spans="1:13" ht="16.5" thickBot="1">
      <c r="A25" s="34"/>
      <c r="B25" s="6"/>
      <c r="C25" s="7"/>
      <c r="D25" s="6"/>
      <c r="E25" s="2"/>
      <c r="F25" s="2"/>
      <c r="G25" s="203"/>
      <c r="H25" s="203"/>
      <c r="I25" s="203"/>
      <c r="J25" s="203"/>
      <c r="K25" s="203"/>
      <c r="L25" s="203"/>
      <c r="M25" s="203"/>
    </row>
    <row r="26" spans="1:13" ht="16.5" thickBot="1">
      <c r="A26" s="536" t="s">
        <v>248</v>
      </c>
      <c r="B26" s="537"/>
      <c r="C26" s="537"/>
      <c r="D26" s="537"/>
      <c r="E26" s="538"/>
      <c r="F26" s="2"/>
      <c r="G26" s="203"/>
      <c r="H26" s="203"/>
      <c r="I26" s="203"/>
      <c r="J26" s="203"/>
      <c r="K26" s="203"/>
      <c r="L26" s="203"/>
      <c r="M26" s="203"/>
    </row>
    <row r="27" spans="1:13" ht="18.75">
      <c r="A27" s="14" t="s">
        <v>249</v>
      </c>
      <c r="B27" s="35" t="s">
        <v>250</v>
      </c>
      <c r="C27" s="16">
        <v>230</v>
      </c>
      <c r="D27" s="15" t="s">
        <v>222</v>
      </c>
      <c r="E27" s="18" t="s">
        <v>251</v>
      </c>
      <c r="F27" s="2"/>
      <c r="G27" s="203"/>
      <c r="H27" s="203"/>
      <c r="I27" s="203"/>
      <c r="J27" s="203"/>
      <c r="K27" s="203"/>
      <c r="L27" s="203"/>
      <c r="M27" s="203"/>
    </row>
    <row r="28" spans="1:13" ht="15.75">
      <c r="A28" s="32"/>
      <c r="B28" s="407"/>
      <c r="C28" s="10"/>
      <c r="D28" s="407"/>
      <c r="E28" s="19"/>
      <c r="F28" s="2"/>
      <c r="G28" s="203"/>
      <c r="H28" s="203"/>
      <c r="I28" s="203"/>
      <c r="J28" s="203"/>
      <c r="K28" s="203"/>
      <c r="L28" s="203"/>
      <c r="M28" s="203"/>
    </row>
    <row r="29" spans="1:13" ht="16.5" thickBot="1">
      <c r="A29" s="43"/>
      <c r="B29" s="20"/>
      <c r="C29" s="21"/>
      <c r="D29" s="20"/>
      <c r="E29" s="22"/>
      <c r="F29" s="2"/>
      <c r="G29" s="203"/>
      <c r="H29" s="203"/>
      <c r="I29" s="203"/>
      <c r="J29" s="203"/>
      <c r="K29" s="203"/>
      <c r="L29" s="203"/>
      <c r="M29" s="203"/>
    </row>
    <row r="30" spans="1:13" ht="16.5" thickBot="1">
      <c r="A30" s="2"/>
      <c r="B30" s="6"/>
      <c r="C30" s="7"/>
      <c r="D30" s="6"/>
      <c r="E30" s="2"/>
      <c r="F30" s="2"/>
      <c r="G30" s="203"/>
      <c r="H30" s="203"/>
      <c r="I30" s="203"/>
      <c r="J30" s="203"/>
      <c r="K30" s="203"/>
      <c r="L30" s="203"/>
      <c r="M30" s="203"/>
    </row>
    <row r="31" spans="1:13" ht="15.6" customHeight="1" thickBot="1">
      <c r="A31" s="396" t="s">
        <v>252</v>
      </c>
      <c r="B31" s="397"/>
      <c r="C31" s="397"/>
      <c r="D31" s="397"/>
      <c r="E31" s="397"/>
      <c r="F31" s="398"/>
      <c r="G31" s="203"/>
      <c r="H31" s="203"/>
      <c r="I31" s="203"/>
      <c r="J31" s="203"/>
      <c r="K31" s="203"/>
      <c r="L31" s="203"/>
      <c r="M31" s="203"/>
    </row>
    <row r="32" spans="1:13" ht="15.75" thickBot="1">
      <c r="A32" s="23" t="s">
        <v>204</v>
      </c>
      <c r="B32" s="24" t="s">
        <v>205</v>
      </c>
      <c r="C32" s="25" t="s">
        <v>206</v>
      </c>
      <c r="D32" s="24" t="s">
        <v>207</v>
      </c>
      <c r="E32" s="23" t="s">
        <v>253</v>
      </c>
      <c r="F32" s="23" t="s">
        <v>172</v>
      </c>
      <c r="G32" s="203"/>
      <c r="H32" s="203"/>
      <c r="I32" s="203"/>
      <c r="J32" s="203"/>
      <c r="K32" s="203"/>
      <c r="L32" s="203"/>
      <c r="M32" s="203"/>
    </row>
    <row r="33" spans="1:6" ht="15.75">
      <c r="A33" s="421" t="s">
        <v>254</v>
      </c>
      <c r="B33" s="12" t="s">
        <v>255</v>
      </c>
      <c r="C33" s="331">
        <f>C21/C27</f>
        <v>0.70449756388978235</v>
      </c>
      <c r="D33" s="12" t="s">
        <v>256</v>
      </c>
      <c r="E33" s="59" t="s">
        <v>257</v>
      </c>
      <c r="F33" s="1"/>
    </row>
    <row r="34" spans="1:6" ht="18.75">
      <c r="A34" s="9" t="s">
        <v>258</v>
      </c>
      <c r="B34" s="407" t="s">
        <v>259</v>
      </c>
      <c r="C34" s="332">
        <f>(C20/(17.6*10^-3*(C22/C33*(C24-C23))^0.5))^(1/1.5)</f>
        <v>0.80019704000248604</v>
      </c>
      <c r="D34" s="407" t="s">
        <v>228</v>
      </c>
      <c r="E34" s="407" t="s">
        <v>260</v>
      </c>
      <c r="F34" s="9"/>
    </row>
    <row r="35" spans="1:6" ht="18.75">
      <c r="A35" s="9" t="s">
        <v>261</v>
      </c>
      <c r="B35" s="407" t="s">
        <v>262</v>
      </c>
      <c r="C35" s="332">
        <f>0.133*C34</f>
        <v>0.10642620632033065</v>
      </c>
      <c r="D35" s="407" t="s">
        <v>228</v>
      </c>
      <c r="E35" s="407" t="s">
        <v>263</v>
      </c>
      <c r="F35" s="9"/>
    </row>
    <row r="36" spans="1:6" ht="18.75">
      <c r="A36" s="9" t="s">
        <v>264</v>
      </c>
      <c r="B36" s="407" t="s">
        <v>265</v>
      </c>
      <c r="C36" s="332">
        <f>0.2*C34</f>
        <v>0.16003940800049721</v>
      </c>
      <c r="D36" s="407" t="s">
        <v>228</v>
      </c>
      <c r="E36" s="407" t="s">
        <v>266</v>
      </c>
      <c r="F36" s="9"/>
    </row>
    <row r="37" spans="1:6" ht="18.75">
      <c r="A37" s="9" t="s">
        <v>267</v>
      </c>
      <c r="B37" s="407" t="s">
        <v>268</v>
      </c>
      <c r="C37" s="332">
        <f>6.85*C34</f>
        <v>5.4813497240170292</v>
      </c>
      <c r="D37" s="407" t="s">
        <v>228</v>
      </c>
      <c r="E37" s="407" t="s">
        <v>269</v>
      </c>
      <c r="F37" s="9"/>
    </row>
    <row r="38" spans="1:6" ht="15.75">
      <c r="A38" s="9"/>
      <c r="B38" s="407"/>
      <c r="C38" s="11"/>
      <c r="D38" s="407"/>
      <c r="E38" s="9"/>
      <c r="F38" s="9"/>
    </row>
    <row r="39" spans="1:6" ht="15.75">
      <c r="A39" s="410"/>
      <c r="B39" s="2"/>
      <c r="C39" s="4"/>
      <c r="D39" s="2"/>
      <c r="E39" s="2"/>
      <c r="F39" s="2"/>
    </row>
    <row r="40" spans="1:6" ht="15.75">
      <c r="A40" s="171" t="s">
        <v>270</v>
      </c>
      <c r="B40" s="2"/>
      <c r="C40" s="2"/>
      <c r="D40" s="2"/>
      <c r="E40" s="2"/>
      <c r="F40" s="2"/>
    </row>
    <row r="41" spans="1:6" ht="15.75">
      <c r="A41" s="8" t="s">
        <v>33</v>
      </c>
      <c r="B41" s="2"/>
      <c r="C41" s="2"/>
      <c r="D41" s="2"/>
      <c r="E41" s="2"/>
      <c r="F41" s="2"/>
    </row>
    <row r="42" spans="1:6" ht="31.5">
      <c r="A42" s="409" t="s">
        <v>271</v>
      </c>
      <c r="B42" s="2"/>
      <c r="C42" s="2"/>
      <c r="D42" s="2"/>
      <c r="E42" s="2"/>
      <c r="F42" s="2"/>
    </row>
    <row r="43" spans="1:6" ht="15.75">
      <c r="A43" s="203" t="s">
        <v>272</v>
      </c>
      <c r="B43" s="2"/>
      <c r="C43" s="2"/>
      <c r="D43" s="2"/>
      <c r="E43" s="2"/>
      <c r="F43" s="2"/>
    </row>
    <row r="44" spans="1:6" ht="47.25">
      <c r="A44" s="409" t="s">
        <v>273</v>
      </c>
      <c r="B44" s="2"/>
      <c r="C44" s="2"/>
      <c r="D44" s="2"/>
      <c r="E44" s="2"/>
      <c r="F44" s="2"/>
    </row>
    <row r="45" spans="1:6" ht="15.75">
      <c r="A45" s="410"/>
      <c r="B45" s="2"/>
      <c r="C45" s="2"/>
      <c r="D45" s="2"/>
      <c r="E45" s="2"/>
      <c r="F45" s="2"/>
    </row>
    <row r="46" spans="1:6" ht="15.75">
      <c r="A46" s="410"/>
      <c r="B46" s="2"/>
      <c r="C46" s="2"/>
      <c r="D46" s="2"/>
      <c r="E46" s="2"/>
      <c r="F46" s="2"/>
    </row>
    <row r="47" spans="1:6" ht="15.75">
      <c r="A47" s="4"/>
      <c r="B47" s="2"/>
      <c r="C47" s="2"/>
      <c r="D47" s="2"/>
      <c r="E47" s="2"/>
      <c r="F47" s="2"/>
    </row>
    <row r="48" spans="1:6" ht="15.75">
      <c r="A48" s="2"/>
      <c r="B48" s="2"/>
      <c r="C48" s="2"/>
      <c r="D48" s="2"/>
      <c r="E48" s="2"/>
      <c r="F48" s="2"/>
    </row>
  </sheetData>
  <mergeCells count="6">
    <mergeCell ref="I14:M14"/>
    <mergeCell ref="A14:F14"/>
    <mergeCell ref="A26:E26"/>
    <mergeCell ref="E1:G5"/>
    <mergeCell ref="E7:G11"/>
    <mergeCell ref="A1:C1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5"/>
  <sheetViews>
    <sheetView topLeftCell="C1" zoomScale="70" zoomScaleNormal="70" workbookViewId="0">
      <selection activeCell="E8" sqref="E8:E11"/>
    </sheetView>
  </sheetViews>
  <sheetFormatPr baseColWidth="10" defaultColWidth="11.42578125" defaultRowHeight="15"/>
  <cols>
    <col min="1" max="1" width="38" customWidth="1"/>
    <col min="2" max="2" width="13.85546875" customWidth="1"/>
    <col min="3" max="3" width="17.85546875" bestFit="1" customWidth="1"/>
    <col min="4" max="4" width="16.28515625" bestFit="1" customWidth="1"/>
    <col min="5" max="5" width="77.42578125" customWidth="1"/>
    <col min="10" max="10" width="19.85546875" bestFit="1" customWidth="1"/>
    <col min="11" max="11" width="21.28515625" customWidth="1"/>
    <col min="12" max="12" width="18.42578125" customWidth="1"/>
    <col min="13" max="13" width="19.7109375" customWidth="1"/>
    <col min="14" max="14" width="13" bestFit="1" customWidth="1"/>
  </cols>
  <sheetData>
    <row r="1" spans="1:14" ht="14.45" customHeight="1">
      <c r="A1" s="541">
        <v>7</v>
      </c>
      <c r="B1" s="541"/>
      <c r="C1" s="541"/>
      <c r="D1" s="3"/>
      <c r="E1" s="539" t="s">
        <v>274</v>
      </c>
      <c r="F1" s="540"/>
      <c r="G1" s="540"/>
      <c r="H1" s="203"/>
      <c r="I1" s="203"/>
      <c r="J1" s="203"/>
      <c r="K1" s="203"/>
      <c r="L1" s="203"/>
      <c r="M1" s="203"/>
      <c r="N1" s="203"/>
    </row>
    <row r="2" spans="1:14" ht="14.45" customHeight="1">
      <c r="A2" s="541"/>
      <c r="B2" s="541"/>
      <c r="C2" s="541"/>
      <c r="D2" s="3"/>
      <c r="E2" s="540"/>
      <c r="F2" s="540"/>
      <c r="G2" s="540"/>
      <c r="H2" s="203"/>
      <c r="I2" s="550" t="s">
        <v>98</v>
      </c>
      <c r="J2" s="551"/>
      <c r="K2" s="551"/>
      <c r="L2" s="551"/>
      <c r="M2" s="551"/>
      <c r="N2" s="552"/>
    </row>
    <row r="3" spans="1:14" ht="14.45" customHeight="1">
      <c r="A3" s="541"/>
      <c r="B3" s="541"/>
      <c r="C3" s="541"/>
      <c r="D3" s="3"/>
      <c r="E3" s="540"/>
      <c r="F3" s="540"/>
      <c r="G3" s="540"/>
      <c r="H3" s="203"/>
      <c r="I3" s="289" t="s">
        <v>26</v>
      </c>
      <c r="J3" s="289" t="s">
        <v>27</v>
      </c>
      <c r="K3" s="289" t="s">
        <v>2</v>
      </c>
      <c r="L3" s="289" t="s">
        <v>28</v>
      </c>
      <c r="M3" s="293" t="s">
        <v>29</v>
      </c>
      <c r="N3" s="289" t="s">
        <v>4</v>
      </c>
    </row>
    <row r="4" spans="1:14" ht="14.45" customHeight="1">
      <c r="A4" s="541"/>
      <c r="B4" s="541"/>
      <c r="C4" s="541"/>
      <c r="D4" s="3"/>
      <c r="E4" s="540"/>
      <c r="F4" s="540"/>
      <c r="G4" s="540"/>
      <c r="H4" s="203"/>
      <c r="I4" s="553" t="s">
        <v>104</v>
      </c>
      <c r="J4" s="545">
        <f>SUM(M4:M6)</f>
        <v>1166.6479658014794</v>
      </c>
      <c r="K4" s="292" t="s">
        <v>5</v>
      </c>
      <c r="L4" s="294">
        <v>0.93354943273905999</v>
      </c>
      <c r="M4" s="29">
        <f>'Línea Leche de almendra'!H28</f>
        <v>1086.1125949819489</v>
      </c>
      <c r="N4" s="290" t="s">
        <v>6</v>
      </c>
    </row>
    <row r="5" spans="1:14" ht="14.45" customHeight="1">
      <c r="A5" s="541"/>
      <c r="B5" s="541"/>
      <c r="C5" s="541"/>
      <c r="D5" s="3"/>
      <c r="E5" s="540"/>
      <c r="F5" s="540"/>
      <c r="G5" s="540"/>
      <c r="H5" s="203"/>
      <c r="I5" s="554"/>
      <c r="J5" s="546"/>
      <c r="K5" s="292" t="s">
        <v>17</v>
      </c>
      <c r="L5" s="294">
        <v>2.7552674230145863E-2</v>
      </c>
      <c r="M5" s="29">
        <f>'Línea Leche de almendra'!H29</f>
        <v>34.999438974044388</v>
      </c>
      <c r="N5" s="290" t="s">
        <v>6</v>
      </c>
    </row>
    <row r="6" spans="1:14" ht="15.75">
      <c r="A6" s="541"/>
      <c r="B6" s="541"/>
      <c r="C6" s="541"/>
      <c r="D6" s="3"/>
      <c r="E6" s="5"/>
      <c r="F6" s="2"/>
      <c r="G6" s="2"/>
      <c r="H6" s="203"/>
      <c r="I6" s="555"/>
      <c r="J6" s="547"/>
      <c r="K6" s="292" t="s">
        <v>18</v>
      </c>
      <c r="L6" s="294">
        <v>3.8897893030794169E-2</v>
      </c>
      <c r="M6" s="29">
        <f>'Línea Leche de almendra'!H30</f>
        <v>45.535931845486111</v>
      </c>
      <c r="N6" s="290" t="s">
        <v>6</v>
      </c>
    </row>
    <row r="7" spans="1:14" ht="14.45" customHeight="1">
      <c r="A7" s="541"/>
      <c r="B7" s="541"/>
      <c r="C7" s="541"/>
      <c r="D7" s="3"/>
      <c r="E7" s="411" t="s">
        <v>275</v>
      </c>
      <c r="F7" s="399"/>
      <c r="G7" s="399"/>
      <c r="H7" s="203"/>
      <c r="I7" s="291" t="s">
        <v>110</v>
      </c>
      <c r="J7" s="296">
        <f>M7</f>
        <v>5932.1659750255749</v>
      </c>
      <c r="K7" s="292" t="s">
        <v>43</v>
      </c>
      <c r="L7" s="294">
        <v>1</v>
      </c>
      <c r="M7" s="29">
        <f>'Línea Leche de almendra'!H31</f>
        <v>5932.1659750255749</v>
      </c>
      <c r="N7" s="290" t="s">
        <v>6</v>
      </c>
    </row>
    <row r="8" spans="1:14" ht="14.45" customHeight="1">
      <c r="A8" s="541"/>
      <c r="B8" s="541"/>
      <c r="C8" s="541"/>
      <c r="D8" s="3"/>
      <c r="E8" s="557" t="s">
        <v>276</v>
      </c>
      <c r="F8" s="399"/>
      <c r="G8" s="399"/>
      <c r="H8" s="203"/>
      <c r="I8" s="289" t="s">
        <v>26</v>
      </c>
      <c r="J8" s="297" t="s">
        <v>46</v>
      </c>
      <c r="K8" s="293" t="s">
        <v>2</v>
      </c>
      <c r="L8" s="295" t="s">
        <v>28</v>
      </c>
      <c r="M8" s="299" t="str">
        <f>'Línea Leche de almendra'!H32</f>
        <v>Masa en corriente </v>
      </c>
      <c r="N8" s="289" t="s">
        <v>4</v>
      </c>
    </row>
    <row r="9" spans="1:14" ht="14.45" customHeight="1">
      <c r="A9" s="541"/>
      <c r="B9" s="541"/>
      <c r="C9" s="541"/>
      <c r="D9" s="3"/>
      <c r="E9" s="557"/>
      <c r="F9" s="399"/>
      <c r="G9" s="399"/>
      <c r="H9" s="203"/>
      <c r="I9" s="553" t="s">
        <v>115</v>
      </c>
      <c r="J9" s="545">
        <f>SUM(M9:M11)</f>
        <v>1138.3982961371528</v>
      </c>
      <c r="K9" s="292" t="s">
        <v>5</v>
      </c>
      <c r="L9" s="294">
        <v>0.88751926040061635</v>
      </c>
      <c r="M9" s="29">
        <f>'Línea Leche de almendra'!H33</f>
        <v>1007.1819549311999</v>
      </c>
      <c r="N9" s="290" t="s">
        <v>6</v>
      </c>
    </row>
    <row r="10" spans="1:14" ht="14.45" customHeight="1">
      <c r="A10" s="541"/>
      <c r="B10" s="541"/>
      <c r="C10" s="541"/>
      <c r="D10" s="3"/>
      <c r="E10" s="557"/>
      <c r="F10" s="399"/>
      <c r="G10" s="399"/>
      <c r="H10" s="203"/>
      <c r="I10" s="554"/>
      <c r="J10" s="546"/>
      <c r="K10" s="292" t="s">
        <v>18</v>
      </c>
      <c r="L10" s="294">
        <v>3.6979969183359017E-2</v>
      </c>
      <c r="M10" s="29">
        <f>'Línea Leche de almendra'!H34</f>
        <v>45.535931845486111</v>
      </c>
      <c r="N10" s="290" t="s">
        <v>6</v>
      </c>
    </row>
    <row r="11" spans="1:14" ht="14.45" customHeight="1">
      <c r="A11" s="541"/>
      <c r="B11" s="541"/>
      <c r="C11" s="541"/>
      <c r="D11" s="3"/>
      <c r="E11" s="557"/>
      <c r="F11" s="399"/>
      <c r="G11" s="399"/>
      <c r="H11" s="203"/>
      <c r="I11" s="555"/>
      <c r="J11" s="547"/>
      <c r="K11" s="292" t="s">
        <v>17</v>
      </c>
      <c r="L11" s="294">
        <v>7.5500770416024654E-2</v>
      </c>
      <c r="M11" s="29">
        <f>'Línea Leche de almendra'!H35</f>
        <v>85.680409360466669</v>
      </c>
      <c r="N11" s="290" t="s">
        <v>6</v>
      </c>
    </row>
    <row r="12" spans="1:14" ht="15.75">
      <c r="A12" s="541"/>
      <c r="B12" s="541"/>
      <c r="C12" s="541"/>
      <c r="D12" s="3"/>
      <c r="E12" s="5"/>
      <c r="F12" s="2"/>
      <c r="G12" s="2"/>
      <c r="H12" s="203"/>
      <c r="I12" s="291" t="s">
        <v>122</v>
      </c>
      <c r="J12" s="298">
        <f>M12</f>
        <v>5841.6565921104129</v>
      </c>
      <c r="K12" s="292" t="s">
        <v>277</v>
      </c>
      <c r="L12" s="294">
        <f>J12/M12</f>
        <v>1</v>
      </c>
      <c r="M12" s="29">
        <f>M7-C54*5*D55</f>
        <v>5841.6565921104129</v>
      </c>
      <c r="N12" s="290" t="s">
        <v>6</v>
      </c>
    </row>
    <row r="13" spans="1:14" ht="15.75">
      <c r="A13" s="541"/>
      <c r="B13" s="541"/>
      <c r="C13" s="541"/>
      <c r="D13" s="3"/>
      <c r="E13" s="5"/>
      <c r="F13" s="2"/>
      <c r="G13" s="2"/>
      <c r="H13" s="203"/>
      <c r="I13" s="203"/>
      <c r="J13" s="203"/>
      <c r="K13" s="203"/>
      <c r="L13" s="203"/>
      <c r="M13" s="203"/>
      <c r="N13" s="203"/>
    </row>
    <row r="14" spans="1:14" ht="15.75">
      <c r="A14" s="541"/>
      <c r="B14" s="541"/>
      <c r="C14" s="541"/>
      <c r="D14" s="3"/>
      <c r="E14" s="5"/>
      <c r="F14" s="2"/>
      <c r="G14" s="2"/>
      <c r="H14" s="203"/>
      <c r="I14" s="203"/>
      <c r="J14" s="203"/>
      <c r="K14" s="203"/>
      <c r="L14" s="203"/>
      <c r="M14" s="203"/>
      <c r="N14" s="203"/>
    </row>
    <row r="15" spans="1:14" ht="15.75">
      <c r="A15" s="541"/>
      <c r="B15" s="541"/>
      <c r="C15" s="541"/>
      <c r="D15" s="3"/>
      <c r="E15" s="5"/>
      <c r="F15" s="2"/>
      <c r="G15" s="2"/>
      <c r="H15" s="203"/>
      <c r="I15" s="203"/>
      <c r="J15" s="203"/>
      <c r="K15" s="203"/>
      <c r="L15" s="203"/>
      <c r="M15" s="203"/>
      <c r="N15" s="203"/>
    </row>
    <row r="16" spans="1:14" ht="15.75">
      <c r="A16" s="549" t="s">
        <v>202</v>
      </c>
      <c r="B16" s="549"/>
      <c r="C16" s="549"/>
      <c r="D16" s="549"/>
      <c r="E16" s="549"/>
      <c r="F16" s="549"/>
      <c r="G16" s="2"/>
      <c r="H16" s="203"/>
      <c r="I16" s="203"/>
      <c r="J16" s="203"/>
      <c r="K16" s="203"/>
      <c r="L16" s="203"/>
      <c r="M16" s="203"/>
      <c r="N16" s="203"/>
    </row>
    <row r="17" spans="1:15" ht="15.75">
      <c r="A17" s="96" t="s">
        <v>278</v>
      </c>
      <c r="B17" s="400" t="s">
        <v>205</v>
      </c>
      <c r="C17" s="97" t="s">
        <v>206</v>
      </c>
      <c r="D17" s="400" t="s">
        <v>207</v>
      </c>
      <c r="E17" s="96" t="s">
        <v>172</v>
      </c>
      <c r="F17" s="96" t="s">
        <v>208</v>
      </c>
      <c r="G17" s="2"/>
      <c r="H17" s="349"/>
      <c r="I17" s="350"/>
      <c r="J17" s="350"/>
      <c r="K17" s="350"/>
      <c r="L17" s="350"/>
      <c r="M17" s="350"/>
      <c r="N17" s="350"/>
      <c r="O17" s="203"/>
    </row>
    <row r="18" spans="1:15" ht="31.5">
      <c r="A18" s="141" t="s">
        <v>279</v>
      </c>
      <c r="B18" s="403" t="s">
        <v>104</v>
      </c>
      <c r="C18" s="403">
        <f>J4</f>
        <v>1166.6479658014794</v>
      </c>
      <c r="D18" s="403" t="s">
        <v>280</v>
      </c>
      <c r="E18" s="139"/>
      <c r="F18" s="139"/>
      <c r="G18" s="2"/>
      <c r="H18" s="350"/>
      <c r="I18" s="350"/>
      <c r="J18" s="350"/>
      <c r="K18" s="350"/>
      <c r="L18" s="350"/>
      <c r="M18" s="350"/>
      <c r="N18" s="350"/>
      <c r="O18" s="203"/>
    </row>
    <row r="19" spans="1:15" ht="15.75">
      <c r="A19" s="422" t="s">
        <v>281</v>
      </c>
      <c r="B19" s="403" t="s">
        <v>110</v>
      </c>
      <c r="C19" s="423">
        <f>J7</f>
        <v>5932.1659750255749</v>
      </c>
      <c r="D19" s="403" t="s">
        <v>280</v>
      </c>
      <c r="E19" s="422"/>
      <c r="F19" s="422"/>
      <c r="G19" s="203"/>
      <c r="H19" s="350"/>
      <c r="I19" s="350"/>
      <c r="J19" s="350"/>
      <c r="K19" s="350"/>
      <c r="L19" s="350"/>
      <c r="M19" s="350"/>
      <c r="N19" s="350"/>
      <c r="O19" s="203"/>
    </row>
    <row r="20" spans="1:15" ht="31.5">
      <c r="A20" s="424" t="s">
        <v>282</v>
      </c>
      <c r="B20" s="403" t="s">
        <v>115</v>
      </c>
      <c r="C20" s="423">
        <f>J9</f>
        <v>1138.3982961371528</v>
      </c>
      <c r="D20" s="403" t="s">
        <v>280</v>
      </c>
      <c r="E20" s="422"/>
      <c r="F20" s="422"/>
      <c r="G20" s="203"/>
      <c r="H20" s="350"/>
      <c r="I20" s="350"/>
      <c r="J20" s="350"/>
      <c r="K20" s="350"/>
      <c r="L20" s="350"/>
      <c r="M20" s="350"/>
      <c r="N20" s="350"/>
      <c r="O20" s="203"/>
    </row>
    <row r="21" spans="1:15" ht="15.75">
      <c r="A21" s="422" t="s">
        <v>283</v>
      </c>
      <c r="B21" s="403" t="s">
        <v>122</v>
      </c>
      <c r="C21" s="423">
        <f>J12</f>
        <v>5841.6565921104129</v>
      </c>
      <c r="D21" s="403" t="s">
        <v>280</v>
      </c>
      <c r="E21" s="422"/>
      <c r="F21" s="422"/>
      <c r="G21" s="203"/>
      <c r="H21" s="350"/>
      <c r="I21" s="350"/>
      <c r="J21" s="350"/>
      <c r="K21" s="350"/>
      <c r="L21" s="350"/>
      <c r="M21" s="350"/>
      <c r="N21" s="350"/>
      <c r="O21" s="203"/>
    </row>
    <row r="22" spans="1:15" ht="31.5">
      <c r="A22" s="425" t="s">
        <v>278</v>
      </c>
      <c r="B22" s="423" t="s">
        <v>284</v>
      </c>
      <c r="C22" s="426">
        <v>9.42</v>
      </c>
      <c r="D22" s="423" t="s">
        <v>285</v>
      </c>
      <c r="E22" s="422" t="s">
        <v>286</v>
      </c>
      <c r="F22" s="211" t="s">
        <v>224</v>
      </c>
      <c r="G22" s="203"/>
      <c r="H22" s="350"/>
      <c r="I22" s="350"/>
      <c r="J22" s="350"/>
      <c r="K22" s="350"/>
      <c r="L22" s="350"/>
      <c r="M22" s="350"/>
      <c r="N22" s="350"/>
      <c r="O22" s="203"/>
    </row>
    <row r="23" spans="1:15" ht="31.5">
      <c r="A23" s="424" t="s">
        <v>287</v>
      </c>
      <c r="B23" s="423" t="s">
        <v>288</v>
      </c>
      <c r="C23" s="423">
        <v>3.99</v>
      </c>
      <c r="D23" s="423" t="s">
        <v>285</v>
      </c>
      <c r="E23" s="424" t="s">
        <v>289</v>
      </c>
      <c r="F23" s="422" t="s">
        <v>230</v>
      </c>
      <c r="G23" s="203"/>
      <c r="H23" s="350"/>
      <c r="I23" s="350"/>
      <c r="J23" s="350"/>
      <c r="K23" s="350"/>
      <c r="L23" s="350"/>
      <c r="M23" s="350"/>
      <c r="N23" s="350"/>
      <c r="O23" s="203"/>
    </row>
    <row r="24" spans="1:15" ht="18.75">
      <c r="A24" s="198" t="s">
        <v>290</v>
      </c>
      <c r="B24" s="427" t="s">
        <v>291</v>
      </c>
      <c r="C24" s="54">
        <v>900</v>
      </c>
      <c r="D24" s="427" t="s">
        <v>244</v>
      </c>
      <c r="E24" s="407" t="s">
        <v>94</v>
      </c>
      <c r="F24" s="428"/>
      <c r="G24" s="203"/>
      <c r="H24" s="203"/>
      <c r="I24" s="203"/>
      <c r="J24" s="203"/>
      <c r="K24" s="203"/>
      <c r="L24" s="203"/>
      <c r="M24" s="203"/>
      <c r="N24" s="203"/>
      <c r="O24" s="203"/>
    </row>
    <row r="25" spans="1:15" s="87" customFormat="1" ht="18.75">
      <c r="A25" s="64" t="s">
        <v>292</v>
      </c>
      <c r="B25" s="427" t="s">
        <v>293</v>
      </c>
      <c r="C25" s="429">
        <v>955</v>
      </c>
      <c r="D25" s="427" t="s">
        <v>244</v>
      </c>
      <c r="E25" s="64"/>
      <c r="F25" s="64"/>
    </row>
    <row r="26" spans="1:15" ht="18.75">
      <c r="A26" s="142" t="s">
        <v>294</v>
      </c>
      <c r="B26" s="427" t="s">
        <v>295</v>
      </c>
      <c r="C26" s="143">
        <v>983.13</v>
      </c>
      <c r="D26" s="427" t="s">
        <v>244</v>
      </c>
      <c r="E26" s="407"/>
      <c r="F26" s="212" t="s">
        <v>102</v>
      </c>
      <c r="G26" s="203"/>
      <c r="H26" s="203"/>
      <c r="I26" s="203"/>
      <c r="J26" s="203"/>
      <c r="K26" s="203"/>
      <c r="L26" s="203"/>
      <c r="M26" s="203"/>
      <c r="N26" s="203"/>
      <c r="O26" s="203"/>
    </row>
    <row r="27" spans="1:15" ht="47.25">
      <c r="A27" s="424" t="s">
        <v>296</v>
      </c>
      <c r="B27" s="423" t="s">
        <v>297</v>
      </c>
      <c r="C27" s="423">
        <v>30</v>
      </c>
      <c r="D27" s="423" t="s">
        <v>285</v>
      </c>
      <c r="E27" s="422"/>
      <c r="F27" s="139" t="s">
        <v>107</v>
      </c>
      <c r="G27" s="203"/>
      <c r="H27" s="203"/>
      <c r="I27" s="203"/>
      <c r="J27" s="203"/>
      <c r="K27" s="203"/>
      <c r="L27" s="203"/>
      <c r="M27" s="203"/>
      <c r="N27" s="203"/>
      <c r="O27" s="203"/>
    </row>
    <row r="28" spans="1:15" s="87" customFormat="1" ht="15.75">
      <c r="A28" s="430"/>
      <c r="B28" s="431"/>
      <c r="C28" s="431"/>
      <c r="D28" s="431"/>
      <c r="E28" s="432"/>
      <c r="F28" s="432"/>
    </row>
    <row r="29" spans="1:15" s="87" customFormat="1" ht="15.75">
      <c r="A29" s="430"/>
      <c r="B29" s="431"/>
      <c r="C29" s="431"/>
      <c r="D29" s="431"/>
      <c r="E29" s="432"/>
      <c r="F29" s="432"/>
    </row>
    <row r="30" spans="1:15" s="87" customFormat="1" ht="15.75">
      <c r="A30" s="430"/>
      <c r="B30" s="431"/>
      <c r="C30" s="431"/>
      <c r="D30" s="431"/>
      <c r="E30" s="432"/>
      <c r="F30" s="432"/>
    </row>
    <row r="31" spans="1:15" s="87" customFormat="1" ht="30">
      <c r="A31" s="430"/>
      <c r="B31" s="431"/>
      <c r="C31" s="431"/>
      <c r="D31" s="431"/>
      <c r="E31" s="432"/>
      <c r="F31" s="432"/>
      <c r="J31" s="354" t="s">
        <v>298</v>
      </c>
      <c r="K31" s="355" t="s">
        <v>299</v>
      </c>
      <c r="L31" s="355" t="s">
        <v>300</v>
      </c>
      <c r="M31" s="356" t="s">
        <v>301</v>
      </c>
      <c r="N31" s="351" t="s">
        <v>302</v>
      </c>
      <c r="O31" s="351" t="s">
        <v>303</v>
      </c>
    </row>
    <row r="32" spans="1:15" s="87" customFormat="1" ht="15.75">
      <c r="A32" s="430"/>
      <c r="B32" s="431"/>
      <c r="C32" s="431"/>
      <c r="D32" s="431"/>
      <c r="E32" s="432"/>
      <c r="F32" s="432"/>
      <c r="J32" s="355">
        <v>0</v>
      </c>
      <c r="K32" s="357">
        <v>0</v>
      </c>
      <c r="L32" s="357">
        <f>M9</f>
        <v>1007.1819549311999</v>
      </c>
      <c r="M32" s="357">
        <f>K32+L32</f>
        <v>1007.1819549311999</v>
      </c>
      <c r="N32" s="352">
        <f>L32*$C$22/100</f>
        <v>94.87654015451902</v>
      </c>
      <c r="O32" s="352">
        <f>M32*C23/100</f>
        <v>40.186560001754877</v>
      </c>
    </row>
    <row r="33" spans="1:15" s="87" customFormat="1" ht="15.75">
      <c r="A33" s="430"/>
      <c r="B33" s="431"/>
      <c r="C33" s="431"/>
      <c r="D33" s="431"/>
      <c r="E33" s="432"/>
      <c r="F33" s="432"/>
      <c r="J33" s="355">
        <v>1</v>
      </c>
      <c r="K33" s="357">
        <f>L32*0.3</f>
        <v>302.15458647935998</v>
      </c>
      <c r="L33" s="357">
        <f>L32-K33</f>
        <v>705.02736845183995</v>
      </c>
      <c r="M33" s="357">
        <f>K33+L33</f>
        <v>1007.1819549311999</v>
      </c>
      <c r="N33" s="352">
        <f t="shared" ref="N33:N35" si="0">L33*$C$22/100</f>
        <v>66.413578108163321</v>
      </c>
      <c r="O33" s="352"/>
    </row>
    <row r="34" spans="1:15">
      <c r="A34" s="203"/>
      <c r="B34" s="203"/>
      <c r="C34" s="203"/>
      <c r="D34" s="203"/>
      <c r="E34" s="203"/>
      <c r="F34" s="203"/>
      <c r="G34" s="203"/>
      <c r="H34" s="203"/>
      <c r="I34" s="203"/>
      <c r="J34" s="355">
        <v>2</v>
      </c>
      <c r="K34" s="357">
        <f>K33+L33*0.3</f>
        <v>513.66279701491192</v>
      </c>
      <c r="L34" s="357">
        <f>L32-K34</f>
        <v>493.51915791628801</v>
      </c>
      <c r="M34" s="357">
        <f>K34+L34</f>
        <v>1007.1819549311999</v>
      </c>
      <c r="N34" s="352">
        <f t="shared" si="0"/>
        <v>46.489504675714336</v>
      </c>
      <c r="O34" s="353"/>
    </row>
    <row r="35" spans="1:15">
      <c r="A35" s="203"/>
      <c r="B35" s="203"/>
      <c r="C35" s="203"/>
      <c r="D35" s="203"/>
      <c r="E35" s="203"/>
      <c r="F35" s="203"/>
      <c r="G35" s="203"/>
      <c r="H35" s="203"/>
      <c r="I35" s="203"/>
      <c r="J35" s="355">
        <v>3</v>
      </c>
      <c r="K35" s="357">
        <f>L34*0.3+K34</f>
        <v>661.71854438979835</v>
      </c>
      <c r="L35" s="357">
        <f>$L$32-K35</f>
        <v>345.46341054140157</v>
      </c>
      <c r="M35" s="357">
        <f>K35+L35</f>
        <v>1007.1819549311999</v>
      </c>
      <c r="N35" s="352">
        <f t="shared" si="0"/>
        <v>32.542653273000028</v>
      </c>
      <c r="O35" s="353"/>
    </row>
    <row r="36" spans="1:15">
      <c r="A36" s="203"/>
      <c r="B36" s="203"/>
      <c r="C36" s="203"/>
      <c r="D36" s="203"/>
      <c r="E36" s="203"/>
      <c r="F36" s="203"/>
      <c r="G36" s="203"/>
      <c r="H36" s="203"/>
      <c r="I36" s="203"/>
      <c r="J36" s="355">
        <v>4</v>
      </c>
      <c r="K36" s="357">
        <f>L35*0.3+K35</f>
        <v>765.35756755221882</v>
      </c>
      <c r="L36" s="357">
        <f>$L$32-K36</f>
        <v>241.8243873789811</v>
      </c>
      <c r="M36" s="357">
        <f>K36+L36</f>
        <v>1007.1819549311999</v>
      </c>
      <c r="N36" s="352">
        <f>L36*$C$22/100</f>
        <v>22.779857291100019</v>
      </c>
      <c r="O36" s="353"/>
    </row>
    <row r="37" spans="1:15">
      <c r="A37" s="556" t="s">
        <v>248</v>
      </c>
      <c r="B37" s="556"/>
      <c r="C37" s="556"/>
      <c r="D37" s="556"/>
      <c r="E37" s="556"/>
      <c r="F37" s="96" t="s">
        <v>208</v>
      </c>
      <c r="G37" s="203"/>
      <c r="H37" s="203"/>
      <c r="I37" s="203"/>
      <c r="J37" s="355">
        <v>5</v>
      </c>
      <c r="K37" s="357">
        <f t="shared" ref="K37" si="1">L36*0.3+K36</f>
        <v>837.90488376591316</v>
      </c>
      <c r="L37" s="357">
        <f t="shared" ref="L37" si="2">$L$32-K37</f>
        <v>169.27707116528677</v>
      </c>
      <c r="M37" s="357">
        <f t="shared" ref="M37" si="3">K37+L37</f>
        <v>1007.1819549311999</v>
      </c>
      <c r="N37" s="352">
        <f>L37*$C$22/100</f>
        <v>15.945900103770013</v>
      </c>
      <c r="O37" s="353">
        <f>(N37/M32)*100</f>
        <v>1.5832194000000002</v>
      </c>
    </row>
    <row r="38" spans="1:15" ht="15.75">
      <c r="A38" s="548" t="s">
        <v>304</v>
      </c>
      <c r="B38" s="548"/>
      <c r="C38" s="548"/>
      <c r="D38" s="548"/>
      <c r="E38" s="548"/>
      <c r="F38" s="139" t="s">
        <v>107</v>
      </c>
      <c r="G38" s="203"/>
      <c r="H38" s="203"/>
      <c r="I38" s="203"/>
      <c r="J38" s="355"/>
      <c r="K38" s="357"/>
      <c r="L38" s="357"/>
      <c r="M38" s="357"/>
      <c r="N38" s="352"/>
      <c r="O38" s="353"/>
    </row>
    <row r="39" spans="1:15" ht="15.75">
      <c r="A39" s="548" t="s">
        <v>305</v>
      </c>
      <c r="B39" s="548"/>
      <c r="C39" s="548"/>
      <c r="D39" s="548"/>
      <c r="E39" s="548"/>
      <c r="F39" s="139"/>
      <c r="G39" s="203"/>
      <c r="H39" s="203"/>
      <c r="I39" s="203"/>
      <c r="J39" s="203"/>
      <c r="K39" s="203"/>
      <c r="L39" s="353"/>
      <c r="M39" s="353"/>
      <c r="N39" s="203"/>
      <c r="O39" s="203"/>
    </row>
    <row r="40" spans="1:15" ht="15.75">
      <c r="A40" s="548" t="s">
        <v>306</v>
      </c>
      <c r="B40" s="548"/>
      <c r="C40" s="548"/>
      <c r="D40" s="548"/>
      <c r="E40" s="548"/>
      <c r="F40" s="139"/>
      <c r="G40" s="203"/>
      <c r="H40" s="203"/>
      <c r="I40" s="203"/>
      <c r="J40" s="203"/>
      <c r="K40" s="203"/>
      <c r="L40" s="28"/>
      <c r="M40" s="28"/>
      <c r="N40" s="203"/>
      <c r="O40" s="203"/>
    </row>
    <row r="41" spans="1:15" ht="15.75">
      <c r="A41" s="548" t="s">
        <v>307</v>
      </c>
      <c r="B41" s="548"/>
      <c r="C41" s="548"/>
      <c r="D41" s="548"/>
      <c r="E41" s="548"/>
      <c r="F41" s="139"/>
      <c r="G41" s="203"/>
      <c r="H41" s="203"/>
      <c r="I41" s="203"/>
      <c r="J41" s="203"/>
      <c r="K41" s="203"/>
      <c r="L41" s="203"/>
      <c r="M41" s="203"/>
      <c r="N41" s="203"/>
      <c r="O41" s="203"/>
    </row>
    <row r="42" spans="1:15" s="87" customFormat="1" ht="15.75">
      <c r="A42" s="402"/>
      <c r="B42" s="402"/>
      <c r="C42" s="402"/>
      <c r="D42" s="402"/>
      <c r="E42" s="402"/>
      <c r="F42" s="194"/>
    </row>
    <row r="43" spans="1:15" s="87" customFormat="1" ht="15.75">
      <c r="A43" s="402"/>
      <c r="B43" s="402"/>
      <c r="C43" s="402"/>
      <c r="D43" s="402"/>
      <c r="E43" s="402"/>
      <c r="F43" s="194"/>
    </row>
    <row r="47" spans="1:15">
      <c r="A47" s="542" t="s">
        <v>252</v>
      </c>
      <c r="B47" s="543"/>
      <c r="C47" s="543"/>
      <c r="D47" s="543"/>
      <c r="E47" s="543"/>
      <c r="F47" s="543"/>
      <c r="G47" s="544"/>
      <c r="H47" s="203"/>
      <c r="I47" s="203"/>
      <c r="J47" s="203"/>
      <c r="K47" s="203"/>
      <c r="L47" s="203"/>
      <c r="M47" s="203"/>
      <c r="N47" s="203"/>
      <c r="O47" s="203"/>
    </row>
    <row r="48" spans="1:15">
      <c r="A48" s="199" t="s">
        <v>204</v>
      </c>
      <c r="B48" s="401" t="s">
        <v>205</v>
      </c>
      <c r="C48" s="401" t="s">
        <v>206</v>
      </c>
      <c r="D48" s="401" t="s">
        <v>207</v>
      </c>
      <c r="E48" s="199" t="s">
        <v>253</v>
      </c>
      <c r="F48" s="542" t="s">
        <v>172</v>
      </c>
      <c r="G48" s="544"/>
      <c r="H48" s="203"/>
      <c r="I48" s="203"/>
      <c r="J48" s="203"/>
      <c r="K48" s="203"/>
      <c r="L48" s="203"/>
      <c r="M48" s="203"/>
      <c r="N48" s="203"/>
      <c r="O48" s="203"/>
    </row>
    <row r="49" spans="1:10" ht="52.5" customHeight="1">
      <c r="A49" s="200" t="s">
        <v>308</v>
      </c>
      <c r="B49" s="201" t="s">
        <v>309</v>
      </c>
      <c r="C49" s="84">
        <f>(M4)/(C24*5)</f>
        <v>0.24135835444043308</v>
      </c>
      <c r="D49" s="433" t="s">
        <v>310</v>
      </c>
      <c r="E49" s="203"/>
      <c r="F49" s="562"/>
      <c r="G49" s="563"/>
      <c r="H49" s="203"/>
      <c r="I49" s="203"/>
      <c r="J49" s="203"/>
    </row>
    <row r="50" spans="1:10" ht="60.75" customHeight="1">
      <c r="A50" s="141" t="s">
        <v>311</v>
      </c>
      <c r="B50" s="403" t="s">
        <v>312</v>
      </c>
      <c r="C50" s="403">
        <f>C49</f>
        <v>0.24135835444043308</v>
      </c>
      <c r="D50" s="427" t="s">
        <v>310</v>
      </c>
      <c r="E50" s="195"/>
      <c r="F50" s="562"/>
      <c r="G50" s="563"/>
      <c r="H50" s="203"/>
      <c r="I50" s="203"/>
      <c r="J50" s="28"/>
    </row>
    <row r="51" spans="1:10" ht="50.25" customHeight="1">
      <c r="A51" s="139" t="s">
        <v>313</v>
      </c>
      <c r="B51" s="403" t="s">
        <v>314</v>
      </c>
      <c r="C51" s="403">
        <f>SUM(C49+C50)</f>
        <v>0.48271670888086615</v>
      </c>
      <c r="D51" s="434" t="s">
        <v>310</v>
      </c>
      <c r="E51" s="196"/>
      <c r="F51" s="562"/>
      <c r="G51" s="563"/>
      <c r="H51" s="203"/>
      <c r="I51" s="203"/>
      <c r="J51" s="203"/>
    </row>
    <row r="52" spans="1:10" ht="56.25" customHeight="1">
      <c r="A52" s="139" t="s">
        <v>315</v>
      </c>
      <c r="B52" s="202" t="s">
        <v>316</v>
      </c>
      <c r="C52" s="403">
        <f>(M4/5)*C22/(100)</f>
        <v>20.462361289459917</v>
      </c>
      <c r="D52" s="403" t="s">
        <v>317</v>
      </c>
      <c r="E52" s="193" t="s">
        <v>318</v>
      </c>
      <c r="F52" s="561"/>
      <c r="G52" s="561"/>
      <c r="H52" s="328" t="s">
        <v>319</v>
      </c>
      <c r="I52" s="203"/>
      <c r="J52" s="203"/>
    </row>
    <row r="53" spans="1:10" ht="49.5" customHeight="1">
      <c r="A53" s="139" t="s">
        <v>320</v>
      </c>
      <c r="B53" s="202" t="s">
        <v>321</v>
      </c>
      <c r="C53" s="403">
        <f>(L37/5)*C22/100</f>
        <v>3.1891800207540024</v>
      </c>
      <c r="D53" s="403" t="s">
        <v>317</v>
      </c>
      <c r="E53" s="196"/>
      <c r="F53" s="561"/>
      <c r="G53" s="561"/>
      <c r="H53" s="203"/>
      <c r="I53" s="203"/>
      <c r="J53" s="203"/>
    </row>
    <row r="54" spans="1:10" ht="114" customHeight="1">
      <c r="A54" s="141" t="s">
        <v>322</v>
      </c>
      <c r="B54" s="403" t="s">
        <v>323</v>
      </c>
      <c r="C54" s="403">
        <f>C27/100*((M4/5)/900)*50</f>
        <v>3.6203753166064958</v>
      </c>
      <c r="D54" s="403" t="s">
        <v>324</v>
      </c>
      <c r="E54" s="562"/>
      <c r="F54" s="564"/>
      <c r="G54" s="563"/>
      <c r="H54" s="203"/>
      <c r="I54" s="203"/>
      <c r="J54" s="203"/>
    </row>
    <row r="55" spans="1:10" ht="150.75" customHeight="1">
      <c r="A55" s="141" t="s">
        <v>325</v>
      </c>
      <c r="B55" s="403" t="s">
        <v>326</v>
      </c>
      <c r="C55" s="403">
        <f>('Línea Leche de almendra'!H35/5)/C54</f>
        <v>4.733233538934738</v>
      </c>
      <c r="D55" s="403">
        <v>5</v>
      </c>
      <c r="E55" s="197"/>
      <c r="F55" s="558" t="s">
        <v>327</v>
      </c>
      <c r="G55" s="558"/>
      <c r="H55" s="203"/>
      <c r="I55" s="203"/>
      <c r="J55" s="203"/>
    </row>
    <row r="56" spans="1:10" ht="15.75">
      <c r="A56" s="194"/>
      <c r="B56" s="402"/>
      <c r="C56" s="402"/>
      <c r="D56" s="402"/>
      <c r="E56" s="194"/>
      <c r="F56" s="194"/>
      <c r="G56" s="203"/>
      <c r="H56" s="203"/>
      <c r="I56" s="203"/>
      <c r="J56" s="203"/>
    </row>
    <row r="57" spans="1:10" ht="15.75">
      <c r="A57" s="194" t="s">
        <v>33</v>
      </c>
      <c r="B57" s="402"/>
      <c r="C57" s="402"/>
      <c r="D57" s="402"/>
      <c r="E57" s="194"/>
      <c r="F57" s="194"/>
      <c r="G57" s="203"/>
      <c r="H57" s="203"/>
      <c r="I57" s="203"/>
      <c r="J57" s="203"/>
    </row>
    <row r="58" spans="1:10" ht="15.75">
      <c r="A58" s="560" t="s">
        <v>328</v>
      </c>
      <c r="B58" s="560"/>
      <c r="C58" s="560"/>
      <c r="D58" s="560"/>
      <c r="E58" s="560"/>
      <c r="F58" s="194"/>
      <c r="G58" s="203"/>
      <c r="H58" s="203"/>
      <c r="I58" s="203"/>
      <c r="J58" s="203"/>
    </row>
    <row r="59" spans="1:10" ht="15.75">
      <c r="A59" s="560"/>
      <c r="B59" s="560"/>
      <c r="C59" s="560"/>
      <c r="D59" s="560"/>
      <c r="E59" s="560"/>
      <c r="F59" s="194"/>
      <c r="G59" s="203"/>
      <c r="H59" s="203"/>
      <c r="I59" s="203"/>
      <c r="J59" s="203"/>
    </row>
    <row r="60" spans="1:10">
      <c r="A60" s="559" t="s">
        <v>329</v>
      </c>
      <c r="B60" s="559"/>
      <c r="C60" s="559"/>
      <c r="D60" s="559"/>
      <c r="E60" s="559"/>
      <c r="F60" s="203"/>
      <c r="G60" s="203"/>
      <c r="H60" s="203"/>
      <c r="I60" s="203"/>
      <c r="J60" s="203"/>
    </row>
    <row r="61" spans="1:10">
      <c r="A61" s="559"/>
      <c r="B61" s="559"/>
      <c r="C61" s="559"/>
      <c r="D61" s="559"/>
      <c r="E61" s="559"/>
      <c r="F61" s="203"/>
      <c r="G61" s="203"/>
      <c r="H61" s="203"/>
      <c r="I61" s="203"/>
      <c r="J61" s="203"/>
    </row>
    <row r="62" spans="1:10">
      <c r="A62" s="559" t="s">
        <v>330</v>
      </c>
      <c r="B62" s="559"/>
      <c r="C62" s="559"/>
      <c r="D62" s="559"/>
      <c r="E62" s="559"/>
      <c r="F62" s="203"/>
      <c r="G62" s="203"/>
      <c r="H62" s="203"/>
      <c r="I62" s="203"/>
      <c r="J62" s="203"/>
    </row>
    <row r="63" spans="1:10">
      <c r="A63" s="559"/>
      <c r="B63" s="559"/>
      <c r="C63" s="559"/>
      <c r="D63" s="559"/>
      <c r="E63" s="559"/>
      <c r="F63" s="203"/>
      <c r="G63" s="203"/>
      <c r="H63" s="203"/>
      <c r="I63" s="203"/>
      <c r="J63" s="203"/>
    </row>
    <row r="64" spans="1:10">
      <c r="A64" s="559" t="s">
        <v>331</v>
      </c>
      <c r="B64" s="559"/>
      <c r="C64" s="559"/>
      <c r="D64" s="559"/>
      <c r="E64" s="559"/>
      <c r="F64" s="203"/>
      <c r="G64" s="203"/>
      <c r="H64" s="203"/>
      <c r="I64" s="203"/>
      <c r="J64" s="203"/>
    </row>
    <row r="65" spans="1:5">
      <c r="A65" s="559"/>
      <c r="B65" s="559"/>
      <c r="C65" s="559"/>
      <c r="D65" s="559"/>
      <c r="E65" s="559"/>
    </row>
  </sheetData>
  <mergeCells count="27">
    <mergeCell ref="F55:G55"/>
    <mergeCell ref="F48:G48"/>
    <mergeCell ref="A64:E65"/>
    <mergeCell ref="A58:E59"/>
    <mergeCell ref="A60:E61"/>
    <mergeCell ref="A62:E63"/>
    <mergeCell ref="F53:G53"/>
    <mergeCell ref="F49:G49"/>
    <mergeCell ref="F50:G50"/>
    <mergeCell ref="F51:G51"/>
    <mergeCell ref="F52:G52"/>
    <mergeCell ref="E54:G54"/>
    <mergeCell ref="A47:G47"/>
    <mergeCell ref="J9:J11"/>
    <mergeCell ref="A1:C15"/>
    <mergeCell ref="E1:G5"/>
    <mergeCell ref="A40:E40"/>
    <mergeCell ref="A41:E41"/>
    <mergeCell ref="A16:F16"/>
    <mergeCell ref="I2:N2"/>
    <mergeCell ref="I4:I6"/>
    <mergeCell ref="J4:J6"/>
    <mergeCell ref="I9:I11"/>
    <mergeCell ref="A37:E37"/>
    <mergeCell ref="A38:E38"/>
    <mergeCell ref="A39:E39"/>
    <mergeCell ref="E8:E11"/>
  </mergeCells>
  <hyperlinks>
    <hyperlink ref="F22" r:id="rId1" display="https://link.springer.com/article/10.1007/s13197-013-0978-y" xr:uid="{00000000-0004-0000-0600-000000000000}"/>
    <hyperlink ref="F26" r:id="rId2" display="http://www.vaxasoftware.com/doc_edu/qui/denh2o.pdf" xr:uid="{00000000-0004-0000-0600-000001000000}"/>
  </hyperlinks>
  <pageMargins left="0.7" right="0.7" top="0.75" bottom="0.75" header="0.3" footer="0.3"/>
  <pageSetup orientation="portrait" verticalDpi="30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9"/>
  <sheetViews>
    <sheetView zoomScale="70" zoomScaleNormal="70" workbookViewId="0">
      <selection sqref="A1:C13"/>
    </sheetView>
  </sheetViews>
  <sheetFormatPr baseColWidth="10" defaultColWidth="11.42578125" defaultRowHeight="15"/>
  <cols>
    <col min="1" max="1" width="39.7109375" customWidth="1"/>
    <col min="2" max="2" width="13.85546875" customWidth="1"/>
    <col min="3" max="4" width="13.140625" customWidth="1"/>
    <col min="5" max="5" width="77.42578125" customWidth="1"/>
    <col min="6" max="6" width="44.7109375" customWidth="1"/>
    <col min="7" max="7" width="15" customWidth="1"/>
    <col min="8" max="8" width="21.42578125" customWidth="1"/>
  </cols>
  <sheetData>
    <row r="1" spans="1:7">
      <c r="A1" s="541" t="s">
        <v>75</v>
      </c>
      <c r="B1" s="541"/>
      <c r="C1" s="541"/>
      <c r="D1" s="3"/>
      <c r="E1" s="539" t="s">
        <v>200</v>
      </c>
      <c r="F1" s="539"/>
      <c r="G1" s="539"/>
    </row>
    <row r="2" spans="1:7">
      <c r="A2" s="541"/>
      <c r="B2" s="541"/>
      <c r="C2" s="541"/>
      <c r="D2" s="3"/>
      <c r="E2" s="539"/>
      <c r="F2" s="539"/>
      <c r="G2" s="539"/>
    </row>
    <row r="3" spans="1:7">
      <c r="A3" s="541"/>
      <c r="B3" s="541"/>
      <c r="C3" s="541"/>
      <c r="D3" s="3"/>
      <c r="E3" s="539"/>
      <c r="F3" s="539"/>
      <c r="G3" s="539"/>
    </row>
    <row r="4" spans="1:7">
      <c r="A4" s="541"/>
      <c r="B4" s="541"/>
      <c r="C4" s="541"/>
      <c r="D4" s="3"/>
      <c r="E4" s="539"/>
      <c r="F4" s="539"/>
      <c r="G4" s="539"/>
    </row>
    <row r="5" spans="1:7">
      <c r="A5" s="541"/>
      <c r="B5" s="541"/>
      <c r="C5" s="541"/>
      <c r="D5" s="3"/>
      <c r="E5" s="539"/>
      <c r="F5" s="539"/>
      <c r="G5" s="539"/>
    </row>
    <row r="6" spans="1:7" ht="15.75">
      <c r="A6" s="541"/>
      <c r="B6" s="541"/>
      <c r="C6" s="541"/>
      <c r="D6" s="3"/>
      <c r="E6" s="5"/>
      <c r="F6" s="2"/>
      <c r="G6" s="2"/>
    </row>
    <row r="7" spans="1:7">
      <c r="A7" s="541"/>
      <c r="B7" s="541"/>
      <c r="C7" s="541"/>
      <c r="D7" s="3"/>
      <c r="E7" s="539"/>
      <c r="F7" s="539"/>
      <c r="G7" s="539"/>
    </row>
    <row r="8" spans="1:7">
      <c r="A8" s="541"/>
      <c r="B8" s="541"/>
      <c r="C8" s="541"/>
      <c r="D8" s="3"/>
      <c r="E8" s="539"/>
      <c r="F8" s="539"/>
      <c r="G8" s="539"/>
    </row>
    <row r="9" spans="1:7">
      <c r="A9" s="541"/>
      <c r="B9" s="541"/>
      <c r="C9" s="541"/>
      <c r="D9" s="3"/>
      <c r="E9" s="539"/>
      <c r="F9" s="539"/>
      <c r="G9" s="539"/>
    </row>
    <row r="10" spans="1:7">
      <c r="A10" s="541"/>
      <c r="B10" s="541"/>
      <c r="C10" s="541"/>
      <c r="D10" s="3"/>
      <c r="E10" s="539"/>
      <c r="F10" s="539"/>
      <c r="G10" s="539"/>
    </row>
    <row r="11" spans="1:7">
      <c r="A11" s="541"/>
      <c r="B11" s="541"/>
      <c r="C11" s="541"/>
      <c r="D11" s="3"/>
      <c r="E11" s="539"/>
      <c r="F11" s="539"/>
      <c r="G11" s="539"/>
    </row>
    <row r="12" spans="1:7" ht="15.75">
      <c r="A12" s="541"/>
      <c r="B12" s="541"/>
      <c r="C12" s="541"/>
      <c r="D12" s="3"/>
      <c r="E12" s="5"/>
      <c r="F12" s="2"/>
      <c r="G12" s="2"/>
    </row>
    <row r="13" spans="1:7" ht="15.75">
      <c r="A13" s="541"/>
      <c r="B13" s="541"/>
      <c r="C13" s="541"/>
      <c r="D13" s="3"/>
      <c r="E13" s="5"/>
      <c r="F13" s="2"/>
      <c r="G13" s="2"/>
    </row>
    <row r="14" spans="1:7" ht="15.75">
      <c r="A14" s="203"/>
      <c r="B14" s="203"/>
      <c r="C14" s="203"/>
      <c r="D14" s="203"/>
      <c r="E14" s="203"/>
      <c r="F14" s="203"/>
      <c r="G14" s="2"/>
    </row>
    <row r="15" spans="1:7" ht="15.75">
      <c r="A15" s="536" t="s">
        <v>202</v>
      </c>
      <c r="B15" s="536"/>
      <c r="C15" s="536"/>
      <c r="D15" s="536"/>
      <c r="E15" s="536"/>
      <c r="F15" s="536"/>
      <c r="G15" s="2"/>
    </row>
    <row r="16" spans="1:7" ht="15.75">
      <c r="A16" s="39" t="s">
        <v>204</v>
      </c>
      <c r="B16" s="40" t="s">
        <v>205</v>
      </c>
      <c r="C16" s="41" t="s">
        <v>206</v>
      </c>
      <c r="D16" s="40" t="s">
        <v>207</v>
      </c>
      <c r="E16" s="42" t="s">
        <v>172</v>
      </c>
      <c r="F16" s="39" t="s">
        <v>208</v>
      </c>
      <c r="G16" s="2"/>
    </row>
    <row r="17" spans="1:7">
      <c r="A17" s="36" t="s">
        <v>332</v>
      </c>
      <c r="B17" s="44" t="s">
        <v>333</v>
      </c>
      <c r="C17" s="44">
        <v>0.5</v>
      </c>
      <c r="D17" s="44" t="s">
        <v>334</v>
      </c>
      <c r="E17" s="44"/>
      <c r="F17" s="44" t="s">
        <v>121</v>
      </c>
      <c r="G17" s="203"/>
    </row>
    <row r="18" spans="1:7">
      <c r="A18" s="36" t="s">
        <v>335</v>
      </c>
      <c r="B18" s="44" t="s">
        <v>336</v>
      </c>
      <c r="C18" s="45">
        <f>'Línea Leche de almendra'!E52/5</f>
        <v>218.57247285833333</v>
      </c>
      <c r="D18" s="44" t="s">
        <v>337</v>
      </c>
      <c r="E18" s="44"/>
      <c r="F18" s="44" t="s">
        <v>338</v>
      </c>
      <c r="G18" s="203"/>
    </row>
    <row r="19" spans="1:7">
      <c r="A19" s="36" t="s">
        <v>339</v>
      </c>
      <c r="B19" s="44" t="s">
        <v>340</v>
      </c>
      <c r="C19" s="45">
        <f>'Línea Leche de almendra'!E56/5</f>
        <v>209.829573944</v>
      </c>
      <c r="D19" s="44" t="s">
        <v>337</v>
      </c>
      <c r="E19" s="44"/>
      <c r="F19" s="44" t="s">
        <v>338</v>
      </c>
      <c r="G19" s="203"/>
    </row>
    <row r="20" spans="1:7">
      <c r="A20" s="36" t="s">
        <v>341</v>
      </c>
      <c r="B20" s="44" t="s">
        <v>342</v>
      </c>
      <c r="C20" s="159">
        <v>1.1639999999999999</v>
      </c>
      <c r="D20" s="44" t="s">
        <v>343</v>
      </c>
      <c r="E20" s="44"/>
      <c r="F20" s="44" t="s">
        <v>114</v>
      </c>
      <c r="G20" s="203"/>
    </row>
    <row r="21" spans="1:7">
      <c r="A21" s="36" t="s">
        <v>344</v>
      </c>
      <c r="B21" s="44" t="s">
        <v>345</v>
      </c>
      <c r="C21" s="159">
        <v>18.02</v>
      </c>
      <c r="D21" s="44" t="s">
        <v>346</v>
      </c>
      <c r="E21" s="44"/>
      <c r="F21" s="44" t="s">
        <v>114</v>
      </c>
      <c r="G21" s="203"/>
    </row>
    <row r="22" spans="1:7">
      <c r="A22" s="36" t="s">
        <v>347</v>
      </c>
      <c r="B22" s="44" t="s">
        <v>348</v>
      </c>
      <c r="C22" s="159">
        <v>28.97</v>
      </c>
      <c r="D22" s="44" t="s">
        <v>346</v>
      </c>
      <c r="E22" s="44"/>
      <c r="F22" s="44" t="s">
        <v>114</v>
      </c>
      <c r="G22" s="203"/>
    </row>
    <row r="23" spans="1:7">
      <c r="A23" s="36" t="s">
        <v>349</v>
      </c>
      <c r="B23" s="44" t="s">
        <v>350</v>
      </c>
      <c r="C23" s="159">
        <v>101520</v>
      </c>
      <c r="D23" s="44" t="s">
        <v>351</v>
      </c>
      <c r="E23" s="44"/>
      <c r="F23" s="167" t="s">
        <v>224</v>
      </c>
      <c r="G23" s="203"/>
    </row>
    <row r="24" spans="1:7">
      <c r="A24" s="36" t="s">
        <v>352</v>
      </c>
      <c r="B24" s="44" t="s">
        <v>353</v>
      </c>
      <c r="C24" s="44">
        <v>4247</v>
      </c>
      <c r="D24" s="44" t="s">
        <v>351</v>
      </c>
      <c r="E24" s="44" t="s">
        <v>354</v>
      </c>
      <c r="F24" s="44" t="s">
        <v>230</v>
      </c>
      <c r="G24" s="203"/>
    </row>
    <row r="25" spans="1:7">
      <c r="A25" s="168" t="s">
        <v>355</v>
      </c>
      <c r="B25" s="159" t="s">
        <v>356</v>
      </c>
      <c r="C25" s="159">
        <v>5</v>
      </c>
      <c r="D25" s="44" t="s">
        <v>357</v>
      </c>
      <c r="E25" s="44" t="s">
        <v>358</v>
      </c>
      <c r="F25" s="44" t="s">
        <v>230</v>
      </c>
      <c r="G25" s="203"/>
    </row>
    <row r="26" spans="1:7" ht="30">
      <c r="A26" s="36" t="s">
        <v>359</v>
      </c>
      <c r="B26" s="44" t="s">
        <v>360</v>
      </c>
      <c r="C26" s="159">
        <v>35</v>
      </c>
      <c r="D26" s="44" t="s">
        <v>361</v>
      </c>
      <c r="E26" s="152" t="s">
        <v>362</v>
      </c>
      <c r="F26" s="214" t="s">
        <v>224</v>
      </c>
      <c r="G26" s="203"/>
    </row>
    <row r="27" spans="1:7" ht="15.75">
      <c r="A27" s="169" t="s">
        <v>363</v>
      </c>
      <c r="B27" s="35" t="s">
        <v>364</v>
      </c>
      <c r="C27" s="150">
        <v>1012</v>
      </c>
      <c r="D27" s="35" t="s">
        <v>365</v>
      </c>
      <c r="E27" s="348" t="s">
        <v>366</v>
      </c>
      <c r="F27" s="44"/>
      <c r="G27" s="203"/>
    </row>
    <row r="28" spans="1:7" ht="15.75">
      <c r="A28" s="313" t="s">
        <v>367</v>
      </c>
      <c r="B28" s="314" t="s">
        <v>368</v>
      </c>
      <c r="C28" s="317">
        <v>1318</v>
      </c>
      <c r="D28" s="314" t="s">
        <v>365</v>
      </c>
      <c r="E28" s="315"/>
      <c r="F28" s="316" t="s">
        <v>369</v>
      </c>
      <c r="G28" s="203"/>
    </row>
    <row r="29" spans="1:7" s="203" customFormat="1" ht="15.75">
      <c r="A29" s="169" t="s">
        <v>370</v>
      </c>
      <c r="B29" s="35" t="s">
        <v>371</v>
      </c>
      <c r="C29" s="318">
        <v>8.9999999999999998E-4</v>
      </c>
      <c r="D29" s="35" t="s">
        <v>228</v>
      </c>
      <c r="E29" s="151"/>
      <c r="F29" s="44" t="s">
        <v>102</v>
      </c>
    </row>
    <row r="30" spans="1:7" s="203" customFormat="1" ht="15.75">
      <c r="A30" s="169" t="s">
        <v>372</v>
      </c>
      <c r="B30" s="35" t="s">
        <v>373</v>
      </c>
      <c r="C30" s="318">
        <v>16.3</v>
      </c>
      <c r="D30" s="35" t="s">
        <v>374</v>
      </c>
      <c r="E30" s="151"/>
      <c r="F30" s="44" t="s">
        <v>107</v>
      </c>
    </row>
    <row r="31" spans="1:7" s="203" customFormat="1" ht="15.75">
      <c r="A31" s="169" t="s">
        <v>375</v>
      </c>
      <c r="B31" s="35" t="s">
        <v>376</v>
      </c>
      <c r="C31" s="318">
        <v>0.52</v>
      </c>
      <c r="D31" s="35" t="s">
        <v>377</v>
      </c>
      <c r="E31" s="151"/>
      <c r="F31" s="44" t="s">
        <v>102</v>
      </c>
    </row>
    <row r="32" spans="1:7" ht="16.5" thickBot="1">
      <c r="A32" s="2"/>
      <c r="B32" s="6"/>
      <c r="C32" s="7"/>
      <c r="D32" s="6"/>
      <c r="E32" s="2"/>
      <c r="F32" s="87"/>
      <c r="G32" s="203"/>
    </row>
    <row r="33" spans="1:8" ht="15.75" thickBot="1">
      <c r="A33" s="536" t="s">
        <v>248</v>
      </c>
      <c r="B33" s="537"/>
      <c r="C33" s="537"/>
      <c r="D33" s="537"/>
      <c r="E33" s="538"/>
      <c r="F33" s="203"/>
      <c r="G33" s="203"/>
      <c r="H33" s="203"/>
    </row>
    <row r="34" spans="1:8" ht="16.5" customHeight="1">
      <c r="A34" s="161" t="s">
        <v>378</v>
      </c>
      <c r="B34" s="164" t="s">
        <v>379</v>
      </c>
      <c r="C34" s="164">
        <v>0</v>
      </c>
      <c r="D34" s="146"/>
      <c r="E34" s="48" t="s">
        <v>380</v>
      </c>
      <c r="F34" s="2"/>
      <c r="G34" s="203"/>
      <c r="H34" s="203"/>
    </row>
    <row r="35" spans="1:8" ht="15.75">
      <c r="A35" s="161" t="s">
        <v>381</v>
      </c>
      <c r="B35" s="164" t="s">
        <v>382</v>
      </c>
      <c r="C35" s="164">
        <f>(0.04*C46)+C34</f>
        <v>3.1360000000000003E-3</v>
      </c>
      <c r="D35" s="165"/>
      <c r="E35" s="153" t="s">
        <v>383</v>
      </c>
      <c r="F35" s="2"/>
      <c r="G35" s="203"/>
      <c r="H35" s="203"/>
    </row>
    <row r="36" spans="1:8" ht="15.75">
      <c r="A36" s="162" t="s">
        <v>384</v>
      </c>
      <c r="B36" s="146" t="s">
        <v>385</v>
      </c>
      <c r="C36" s="164">
        <v>30</v>
      </c>
      <c r="D36" s="146" t="s">
        <v>386</v>
      </c>
      <c r="E36" s="48"/>
      <c r="F36" s="2"/>
      <c r="G36" s="203"/>
      <c r="H36" s="203"/>
    </row>
    <row r="37" spans="1:8" ht="15.75">
      <c r="A37" s="163" t="s">
        <v>387</v>
      </c>
      <c r="B37" s="165" t="s">
        <v>388</v>
      </c>
      <c r="C37" s="166">
        <v>-10</v>
      </c>
      <c r="D37" s="165" t="s">
        <v>386</v>
      </c>
      <c r="E37" s="153" t="s">
        <v>389</v>
      </c>
      <c r="F37" s="2"/>
      <c r="G37" s="203"/>
      <c r="H37" s="203"/>
    </row>
    <row r="38" spans="1:8" s="203" customFormat="1" ht="15.75">
      <c r="A38" s="319" t="s">
        <v>390</v>
      </c>
      <c r="B38" s="86" t="s">
        <v>391</v>
      </c>
      <c r="C38" s="320">
        <v>-2</v>
      </c>
      <c r="D38" s="86" t="s">
        <v>386</v>
      </c>
      <c r="E38" s="326" t="s">
        <v>392</v>
      </c>
      <c r="F38" s="2"/>
    </row>
    <row r="39" spans="1:8" s="203" customFormat="1">
      <c r="A39" s="153" t="s">
        <v>393</v>
      </c>
      <c r="B39" s="153" t="s">
        <v>394</v>
      </c>
      <c r="C39" s="154">
        <v>6</v>
      </c>
      <c r="D39" s="153" t="s">
        <v>94</v>
      </c>
      <c r="E39" s="155" t="s">
        <v>395</v>
      </c>
      <c r="F39" s="153"/>
    </row>
    <row r="40" spans="1:8" ht="15.75" thickBot="1">
      <c r="A40" s="203"/>
      <c r="B40" s="203"/>
      <c r="C40" s="203"/>
      <c r="D40" s="203"/>
      <c r="E40" s="203"/>
      <c r="F40" s="87"/>
      <c r="G40" s="203"/>
      <c r="H40" s="203"/>
    </row>
    <row r="41" spans="1:8" ht="15.75" customHeight="1" thickBot="1">
      <c r="A41" s="536" t="s">
        <v>252</v>
      </c>
      <c r="B41" s="537"/>
      <c r="C41" s="537"/>
      <c r="D41" s="537"/>
      <c r="E41" s="537"/>
      <c r="F41" s="538"/>
      <c r="G41" s="203"/>
      <c r="H41" s="203"/>
    </row>
    <row r="42" spans="1:8" ht="15.75" thickBot="1">
      <c r="A42" s="23" t="s">
        <v>204</v>
      </c>
      <c r="B42" s="24" t="s">
        <v>205</v>
      </c>
      <c r="C42" s="25" t="s">
        <v>206</v>
      </c>
      <c r="D42" s="24" t="s">
        <v>207</v>
      </c>
      <c r="E42" s="23" t="s">
        <v>253</v>
      </c>
      <c r="F42" s="23" t="s">
        <v>172</v>
      </c>
      <c r="G42" s="203"/>
      <c r="H42" s="203"/>
    </row>
    <row r="43" spans="1:8">
      <c r="A43" s="203"/>
      <c r="B43" s="203"/>
      <c r="C43" s="203"/>
      <c r="D43" s="203"/>
      <c r="E43" s="203"/>
      <c r="F43" s="203"/>
      <c r="G43" s="566"/>
      <c r="H43" s="203"/>
    </row>
    <row r="44" spans="1:8">
      <c r="A44" s="48" t="s">
        <v>396</v>
      </c>
      <c r="B44" s="48" t="s">
        <v>397</v>
      </c>
      <c r="C44" s="363">
        <f>C18/C39</f>
        <v>36.42874547638889</v>
      </c>
      <c r="D44" s="48" t="s">
        <v>398</v>
      </c>
      <c r="E44" s="153" t="s">
        <v>399</v>
      </c>
      <c r="F44" s="153"/>
      <c r="G44" s="566"/>
      <c r="H44" s="203"/>
    </row>
    <row r="45" spans="1:8">
      <c r="A45" s="48" t="s">
        <v>400</v>
      </c>
      <c r="B45" s="48" t="s">
        <v>401</v>
      </c>
      <c r="C45" s="363">
        <f>C19/C39</f>
        <v>34.971595657333332</v>
      </c>
      <c r="D45" s="48" t="s">
        <v>398</v>
      </c>
      <c r="E45" s="153" t="s">
        <v>402</v>
      </c>
      <c r="F45" s="153"/>
      <c r="G45" s="566"/>
      <c r="H45" s="203"/>
    </row>
    <row r="46" spans="1:8">
      <c r="A46" s="153" t="s">
        <v>403</v>
      </c>
      <c r="B46" s="153" t="s">
        <v>404</v>
      </c>
      <c r="C46" s="364">
        <f>'Línea Leche de almendra'!H53/SUM('Línea Leche de almendra'!H52:H53)</f>
        <v>7.8400000000000011E-2</v>
      </c>
      <c r="D46" s="153" t="s">
        <v>405</v>
      </c>
      <c r="E46" s="153" t="s">
        <v>406</v>
      </c>
      <c r="F46" s="153"/>
      <c r="G46" s="566"/>
      <c r="H46" s="203"/>
    </row>
    <row r="47" spans="1:8">
      <c r="A47" s="153" t="s">
        <v>407</v>
      </c>
      <c r="B47" s="153" t="s">
        <v>408</v>
      </c>
      <c r="C47" s="364">
        <f>'Línea Leche de almendra'!G57/SUM('Línea Leche de almendra'!G56:G57)</f>
        <v>0.04</v>
      </c>
      <c r="D47" s="153" t="s">
        <v>405</v>
      </c>
      <c r="E47" s="153" t="s">
        <v>409</v>
      </c>
      <c r="F47" s="153"/>
      <c r="G47" s="566"/>
      <c r="H47" s="203"/>
    </row>
    <row r="48" spans="1:8">
      <c r="A48" s="153" t="s">
        <v>410</v>
      </c>
      <c r="B48" s="153" t="s">
        <v>411</v>
      </c>
      <c r="C48" s="364">
        <f>((C45*C47-C44*C46)+(C44-C45)*C35)/(C34-C35)</f>
        <v>463.19521595121103</v>
      </c>
      <c r="D48" s="48" t="s">
        <v>398</v>
      </c>
      <c r="E48" s="153" t="s">
        <v>412</v>
      </c>
      <c r="F48" s="153"/>
      <c r="G48" s="566"/>
      <c r="H48" s="203"/>
    </row>
    <row r="49" spans="1:8">
      <c r="A49" s="153" t="s">
        <v>413</v>
      </c>
      <c r="B49" s="153" t="s">
        <v>414</v>
      </c>
      <c r="C49" s="364">
        <f>C48/C20</f>
        <v>397.93403432234629</v>
      </c>
      <c r="D49" s="153" t="s">
        <v>415</v>
      </c>
      <c r="E49" s="153" t="s">
        <v>416</v>
      </c>
      <c r="F49" s="153"/>
      <c r="G49" s="566"/>
      <c r="H49" s="203"/>
    </row>
    <row r="50" spans="1:8">
      <c r="A50" s="156" t="s">
        <v>417</v>
      </c>
      <c r="B50" s="157" t="s">
        <v>418</v>
      </c>
      <c r="C50" s="364">
        <f>C49/1800</f>
        <v>0.22107446351241461</v>
      </c>
      <c r="D50" s="157" t="s">
        <v>256</v>
      </c>
      <c r="E50" s="157" t="s">
        <v>419</v>
      </c>
      <c r="F50" s="157"/>
      <c r="G50" s="566"/>
      <c r="H50" s="203"/>
    </row>
    <row r="51" spans="1:8">
      <c r="A51" s="157" t="s">
        <v>420</v>
      </c>
      <c r="B51" s="157" t="s">
        <v>421</v>
      </c>
      <c r="C51" s="365">
        <f>C50/C53</f>
        <v>0.24708209256237992</v>
      </c>
      <c r="D51" s="157" t="s">
        <v>422</v>
      </c>
      <c r="E51" s="157" t="s">
        <v>423</v>
      </c>
      <c r="F51" s="157"/>
      <c r="G51" s="566"/>
      <c r="H51" s="203"/>
    </row>
    <row r="52" spans="1:8">
      <c r="A52" s="48" t="s">
        <v>424</v>
      </c>
      <c r="B52" s="48" t="s">
        <v>425</v>
      </c>
      <c r="C52" s="366">
        <f>0.625*(C24/(C23-C24))</f>
        <v>2.7287890781614629E-2</v>
      </c>
      <c r="D52" s="48" t="s">
        <v>285</v>
      </c>
      <c r="E52" s="48" t="s">
        <v>426</v>
      </c>
      <c r="F52" s="48"/>
      <c r="G52" s="566"/>
      <c r="H52" s="203"/>
    </row>
    <row r="53" spans="1:8" ht="45">
      <c r="A53" s="48" t="s">
        <v>427</v>
      </c>
      <c r="B53" s="48" t="s">
        <v>428</v>
      </c>
      <c r="C53" s="366">
        <f>8315.6*((1/C22)+(C52/C21))*((C36+273.15)/C23)</f>
        <v>0.89474093901240837</v>
      </c>
      <c r="D53" s="158" t="s">
        <v>429</v>
      </c>
      <c r="E53" s="48" t="s">
        <v>430</v>
      </c>
      <c r="F53" s="157"/>
      <c r="G53" s="566"/>
      <c r="H53" s="203"/>
    </row>
    <row r="54" spans="1:8">
      <c r="A54" s="48" t="s">
        <v>431</v>
      </c>
      <c r="B54" s="48" t="s">
        <v>432</v>
      </c>
      <c r="C54" s="366">
        <f>C51*C27*((273.15+30)-(273.15+C25))</f>
        <v>6251.176941828212</v>
      </c>
      <c r="D54" s="48" t="s">
        <v>433</v>
      </c>
      <c r="E54" s="48" t="s">
        <v>434</v>
      </c>
      <c r="F54" s="48"/>
      <c r="G54" s="567"/>
      <c r="H54" s="203"/>
    </row>
    <row r="55" spans="1:8">
      <c r="A55" s="156" t="s">
        <v>435</v>
      </c>
      <c r="B55" s="215" t="s">
        <v>436</v>
      </c>
      <c r="C55" s="367">
        <f>C54/(C56*C58)</f>
        <v>7.9757657246648437</v>
      </c>
      <c r="D55" s="215" t="s">
        <v>377</v>
      </c>
      <c r="E55" s="215" t="s">
        <v>437</v>
      </c>
      <c r="F55" s="48"/>
      <c r="G55" s="567"/>
      <c r="H55" s="203"/>
    </row>
    <row r="56" spans="1:8" s="203" customFormat="1" ht="15" customHeight="1">
      <c r="A56" s="156" t="s">
        <v>438</v>
      </c>
      <c r="B56" s="312" t="s">
        <v>439</v>
      </c>
      <c r="C56" s="368">
        <f>1/(1/C26+(C29/C30))</f>
        <v>34.932492422618864</v>
      </c>
      <c r="D56" s="215" t="s">
        <v>361</v>
      </c>
      <c r="E56" s="215" t="s">
        <v>440</v>
      </c>
      <c r="F56" s="48"/>
      <c r="G56" s="567"/>
      <c r="H56" s="565"/>
    </row>
    <row r="57" spans="1:8" s="203" customFormat="1">
      <c r="A57" s="156" t="s">
        <v>441</v>
      </c>
      <c r="B57" s="312" t="s">
        <v>442</v>
      </c>
      <c r="C57" s="368">
        <f>(C51*C27*((C36+273.15)-(C25+273.15)))/(((C38+273.15)-(C37+273.15))*C28)</f>
        <v>0.59286579493818403</v>
      </c>
      <c r="D57" s="215" t="s">
        <v>422</v>
      </c>
      <c r="E57" s="215" t="s">
        <v>443</v>
      </c>
      <c r="F57" s="48"/>
      <c r="G57" s="567"/>
      <c r="H57" s="565"/>
    </row>
    <row r="58" spans="1:8" ht="15.75">
      <c r="A58" s="316" t="s">
        <v>444</v>
      </c>
      <c r="B58" s="324" t="s">
        <v>445</v>
      </c>
      <c r="C58" s="369">
        <f>((C36-C38)-(C25-C37))/LN((C36-C38)/(C25-C37))</f>
        <v>22.436743839712506</v>
      </c>
      <c r="D58" s="316" t="s">
        <v>357</v>
      </c>
      <c r="E58" s="315" t="s">
        <v>446</v>
      </c>
      <c r="F58" s="325" t="s">
        <v>447</v>
      </c>
      <c r="G58" s="568"/>
      <c r="H58" s="203"/>
    </row>
    <row r="59" spans="1:8" ht="15.75">
      <c r="A59" s="35" t="s">
        <v>448</v>
      </c>
      <c r="B59" s="151" t="s">
        <v>449</v>
      </c>
      <c r="C59" s="370">
        <f>C55/C31</f>
        <v>15.338011008970852</v>
      </c>
      <c r="D59" s="151"/>
      <c r="E59" s="151" t="s">
        <v>450</v>
      </c>
      <c r="F59" s="151"/>
      <c r="G59" s="32"/>
      <c r="H59" s="203"/>
    </row>
    <row r="60" spans="1:8">
      <c r="A60" s="203"/>
      <c r="B60" s="203"/>
      <c r="C60" s="203"/>
      <c r="D60" s="203"/>
      <c r="E60" s="203"/>
      <c r="F60" s="203"/>
      <c r="G60" s="203"/>
      <c r="H60" s="203"/>
    </row>
    <row r="62" spans="1:8" ht="15.75">
      <c r="A62" s="8" t="s">
        <v>33</v>
      </c>
      <c r="B62" s="2"/>
      <c r="C62" s="2"/>
      <c r="D62" s="2"/>
      <c r="E62" s="2"/>
      <c r="F62" s="203"/>
      <c r="G62" s="203"/>
      <c r="H62" s="203"/>
    </row>
    <row r="63" spans="1:8" ht="15.75">
      <c r="A63" s="410" t="s">
        <v>451</v>
      </c>
      <c r="B63" s="213"/>
      <c r="C63" s="2"/>
      <c r="D63" s="2"/>
      <c r="E63" s="2"/>
      <c r="F63" s="203"/>
      <c r="G63" s="203"/>
      <c r="H63" s="203"/>
    </row>
    <row r="64" spans="1:8">
      <c r="A64" s="203" t="s">
        <v>452</v>
      </c>
      <c r="B64" s="203"/>
      <c r="C64" s="203"/>
      <c r="D64" s="203"/>
      <c r="E64" s="203"/>
      <c r="F64" s="203"/>
      <c r="G64" s="203"/>
      <c r="H64" s="203"/>
    </row>
    <row r="65" spans="1:8">
      <c r="A65" s="203" t="s">
        <v>453</v>
      </c>
      <c r="B65" s="203"/>
      <c r="C65" s="203"/>
      <c r="D65" s="203"/>
      <c r="E65" s="203"/>
      <c r="F65" s="203"/>
      <c r="G65" s="203"/>
      <c r="H65" s="203"/>
    </row>
    <row r="66" spans="1:8">
      <c r="A66" s="203" t="s">
        <v>454</v>
      </c>
      <c r="B66" s="203"/>
      <c r="C66" s="203"/>
      <c r="D66" s="203"/>
      <c r="E66" s="203"/>
      <c r="F66" s="203"/>
      <c r="G66" s="203"/>
      <c r="H66" s="203"/>
    </row>
    <row r="67" spans="1:8">
      <c r="A67" s="203" t="s">
        <v>455</v>
      </c>
      <c r="B67" s="203"/>
      <c r="C67" s="203"/>
      <c r="D67" s="203"/>
      <c r="E67" s="203"/>
      <c r="F67" s="203"/>
      <c r="G67" s="203"/>
      <c r="H67" s="203"/>
    </row>
    <row r="68" spans="1:8">
      <c r="A68" s="203" t="s">
        <v>456</v>
      </c>
      <c r="B68" s="203"/>
      <c r="C68" s="203"/>
      <c r="D68" s="203"/>
      <c r="E68" s="203"/>
      <c r="F68" s="203"/>
      <c r="G68" s="203"/>
      <c r="H68" s="203"/>
    </row>
    <row r="69" spans="1:8">
      <c r="A69" s="203" t="s">
        <v>457</v>
      </c>
      <c r="B69" s="203"/>
      <c r="C69" s="203"/>
      <c r="D69" s="203"/>
      <c r="E69" s="203"/>
      <c r="F69" s="203"/>
      <c r="G69" s="203"/>
      <c r="H69" s="203"/>
    </row>
  </sheetData>
  <mergeCells count="9">
    <mergeCell ref="H56:H57"/>
    <mergeCell ref="G43:G53"/>
    <mergeCell ref="G54:G58"/>
    <mergeCell ref="A41:F41"/>
    <mergeCell ref="A1:C13"/>
    <mergeCell ref="E1:G5"/>
    <mergeCell ref="E7:G11"/>
    <mergeCell ref="A15:F15"/>
    <mergeCell ref="A33:E33"/>
  </mergeCells>
  <hyperlinks>
    <hyperlink ref="F26" r:id="rId1" display="https://www.monografias.com/docs113/dimensionamiento-intercambiadores-calor-tubulares/image047.png" xr:uid="{00000000-0004-0000-0700-000000000000}"/>
  </hyperlink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8"/>
  <sheetViews>
    <sheetView topLeftCell="A3" zoomScale="111" zoomScaleNormal="93" workbookViewId="0">
      <selection activeCell="A15" sqref="A15:D22"/>
    </sheetView>
  </sheetViews>
  <sheetFormatPr baseColWidth="10" defaultColWidth="11.42578125" defaultRowHeight="15"/>
  <cols>
    <col min="1" max="1" width="50.42578125" bestFit="1" customWidth="1"/>
    <col min="2" max="2" width="13.85546875" customWidth="1"/>
    <col min="3" max="3" width="13.140625" customWidth="1"/>
    <col min="4" max="4" width="18.85546875" bestFit="1" customWidth="1"/>
    <col min="5" max="5" width="96.28515625" bestFit="1" customWidth="1"/>
  </cols>
  <sheetData>
    <row r="1" spans="1:7">
      <c r="A1" s="541" t="s">
        <v>75</v>
      </c>
      <c r="B1" s="541"/>
      <c r="C1" s="541"/>
      <c r="D1" s="3"/>
      <c r="E1" s="539" t="s">
        <v>458</v>
      </c>
      <c r="F1" s="540"/>
      <c r="G1" s="540"/>
    </row>
    <row r="2" spans="1:7">
      <c r="A2" s="541"/>
      <c r="B2" s="541"/>
      <c r="C2" s="541"/>
      <c r="D2" s="3"/>
      <c r="E2" s="540"/>
      <c r="F2" s="540"/>
      <c r="G2" s="540"/>
    </row>
    <row r="3" spans="1:7">
      <c r="A3" s="541"/>
      <c r="B3" s="541"/>
      <c r="C3" s="541"/>
      <c r="D3" s="3"/>
      <c r="E3" s="540"/>
      <c r="F3" s="540"/>
      <c r="G3" s="540"/>
    </row>
    <row r="4" spans="1:7">
      <c r="A4" s="541"/>
      <c r="B4" s="541"/>
      <c r="C4" s="541"/>
      <c r="D4" s="3"/>
      <c r="E4" s="540"/>
      <c r="F4" s="540"/>
      <c r="G4" s="540"/>
    </row>
    <row r="5" spans="1:7">
      <c r="A5" s="541"/>
      <c r="B5" s="541"/>
      <c r="C5" s="541"/>
      <c r="D5" s="3"/>
      <c r="E5" s="540"/>
      <c r="F5" s="540"/>
      <c r="G5" s="540"/>
    </row>
    <row r="6" spans="1:7" ht="15.75">
      <c r="A6" s="541"/>
      <c r="B6" s="541"/>
      <c r="C6" s="541"/>
      <c r="D6" s="3"/>
      <c r="E6" s="5"/>
      <c r="F6" s="2"/>
      <c r="G6" s="2"/>
    </row>
    <row r="7" spans="1:7">
      <c r="A7" s="541"/>
      <c r="B7" s="541"/>
      <c r="C7" s="541"/>
      <c r="D7" s="3"/>
      <c r="E7" s="539"/>
      <c r="F7" s="540"/>
      <c r="G7" s="540"/>
    </row>
    <row r="8" spans="1:7">
      <c r="A8" s="541"/>
      <c r="B8" s="541"/>
      <c r="C8" s="541"/>
      <c r="D8" s="3"/>
      <c r="E8" s="540"/>
      <c r="F8" s="540"/>
      <c r="G8" s="540"/>
    </row>
    <row r="9" spans="1:7">
      <c r="A9" s="541"/>
      <c r="B9" s="541"/>
      <c r="C9" s="541"/>
      <c r="D9" s="3"/>
      <c r="E9" s="540"/>
      <c r="F9" s="540"/>
      <c r="G9" s="540"/>
    </row>
    <row r="10" spans="1:7">
      <c r="A10" s="541"/>
      <c r="B10" s="541"/>
      <c r="C10" s="541"/>
      <c r="D10" s="3"/>
      <c r="E10" s="540"/>
      <c r="F10" s="540"/>
      <c r="G10" s="540"/>
    </row>
    <row r="11" spans="1:7">
      <c r="A11" s="541"/>
      <c r="B11" s="541"/>
      <c r="C11" s="541"/>
      <c r="D11" s="3"/>
      <c r="E11" s="540"/>
      <c r="F11" s="540"/>
      <c r="G11" s="540"/>
    </row>
    <row r="12" spans="1:7" ht="15.75">
      <c r="A12" s="541"/>
      <c r="B12" s="541"/>
      <c r="C12" s="541"/>
      <c r="D12" s="3"/>
      <c r="E12" s="5"/>
      <c r="F12" s="2"/>
      <c r="G12" s="2"/>
    </row>
    <row r="13" spans="1:7" ht="16.5" thickBot="1">
      <c r="A13" s="541"/>
      <c r="B13" s="541"/>
      <c r="C13" s="541"/>
      <c r="D13" s="3"/>
      <c r="E13" s="5"/>
      <c r="F13" s="2"/>
      <c r="G13" s="2"/>
    </row>
    <row r="14" spans="1:7" ht="16.5" thickBot="1">
      <c r="A14" s="536" t="s">
        <v>202</v>
      </c>
      <c r="B14" s="537"/>
      <c r="C14" s="537"/>
      <c r="D14" s="537"/>
      <c r="E14" s="537"/>
      <c r="F14" s="538"/>
      <c r="G14" s="2"/>
    </row>
    <row r="15" spans="1:7" ht="16.5" thickBot="1">
      <c r="A15" s="23" t="s">
        <v>204</v>
      </c>
      <c r="B15" s="24" t="s">
        <v>205</v>
      </c>
      <c r="C15" s="25" t="s">
        <v>206</v>
      </c>
      <c r="D15" s="24" t="s">
        <v>207</v>
      </c>
      <c r="E15" s="26" t="s">
        <v>172</v>
      </c>
      <c r="F15" s="23" t="s">
        <v>208</v>
      </c>
      <c r="G15" s="2"/>
    </row>
    <row r="16" spans="1:7" ht="15.75">
      <c r="A16" s="36" t="s">
        <v>459</v>
      </c>
      <c r="B16" s="46" t="s">
        <v>49</v>
      </c>
      <c r="C16" s="47">
        <f>('Línea Leche de almendra'!P11)</f>
        <v>12646.806488517792</v>
      </c>
      <c r="D16" s="48" t="s">
        <v>6</v>
      </c>
      <c r="E16" s="60" t="str">
        <f>E17</f>
        <v>-</v>
      </c>
      <c r="F16" s="18"/>
      <c r="G16" s="2"/>
    </row>
    <row r="17" spans="1:6" ht="15.75">
      <c r="A17" s="36" t="s">
        <v>460</v>
      </c>
      <c r="B17" s="49" t="s">
        <v>65</v>
      </c>
      <c r="C17" s="47">
        <f>'Línea Leche de almendra'!P13</f>
        <v>12134.437292087499</v>
      </c>
      <c r="D17" s="48" t="s">
        <v>6</v>
      </c>
      <c r="E17" s="61" t="s">
        <v>94</v>
      </c>
      <c r="F17" s="435"/>
    </row>
    <row r="18" spans="1:6" ht="15.75">
      <c r="A18" s="36" t="s">
        <v>461</v>
      </c>
      <c r="B18" s="50" t="s">
        <v>69</v>
      </c>
      <c r="C18" s="47">
        <f>'Línea Leche de almendra'!P14</f>
        <v>512.36919643029171</v>
      </c>
      <c r="D18" s="48" t="s">
        <v>6</v>
      </c>
      <c r="E18" s="61" t="s">
        <v>94</v>
      </c>
      <c r="F18" s="435"/>
    </row>
    <row r="19" spans="1:6" ht="18.75">
      <c r="A19" s="69" t="s">
        <v>462</v>
      </c>
      <c r="B19" s="436" t="s">
        <v>463</v>
      </c>
      <c r="C19" s="71">
        <v>0.95499999999999996</v>
      </c>
      <c r="D19" s="52" t="s">
        <v>464</v>
      </c>
      <c r="E19" s="61" t="s">
        <v>94</v>
      </c>
      <c r="F19" s="435"/>
    </row>
    <row r="20" spans="1:6" ht="18.75">
      <c r="A20" s="69" t="s">
        <v>465</v>
      </c>
      <c r="B20" s="436" t="s">
        <v>466</v>
      </c>
      <c r="C20" s="71">
        <v>4.4999999999999998E-2</v>
      </c>
      <c r="D20" s="52" t="s">
        <v>467</v>
      </c>
      <c r="E20" s="61" t="s">
        <v>94</v>
      </c>
      <c r="F20" s="435"/>
    </row>
    <row r="21" spans="1:6" ht="18.75">
      <c r="A21" s="69" t="s">
        <v>468</v>
      </c>
      <c r="B21" s="436" t="s">
        <v>469</v>
      </c>
      <c r="C21" s="70">
        <v>0.1</v>
      </c>
      <c r="D21" s="73" t="s">
        <v>470</v>
      </c>
      <c r="E21" s="61" t="s">
        <v>94</v>
      </c>
      <c r="F21" s="435"/>
    </row>
    <row r="22" spans="1:6" ht="18.75">
      <c r="A22" s="69" t="s">
        <v>471</v>
      </c>
      <c r="B22" s="437" t="s">
        <v>472</v>
      </c>
      <c r="C22" s="70">
        <v>0.9</v>
      </c>
      <c r="D22" s="73" t="s">
        <v>473</v>
      </c>
      <c r="E22" s="61" t="s">
        <v>94</v>
      </c>
      <c r="F22" s="435"/>
    </row>
    <row r="23" spans="1:6" ht="18.75">
      <c r="A23" s="68" t="s">
        <v>474</v>
      </c>
      <c r="B23" s="427" t="s">
        <v>295</v>
      </c>
      <c r="C23" s="52">
        <v>997.13</v>
      </c>
      <c r="D23" s="427" t="s">
        <v>244</v>
      </c>
      <c r="E23" s="407" t="s">
        <v>94</v>
      </c>
      <c r="F23" s="435"/>
    </row>
    <row r="24" spans="1:6" ht="18.75">
      <c r="A24" s="53" t="s">
        <v>290</v>
      </c>
      <c r="B24" s="434" t="s">
        <v>293</v>
      </c>
      <c r="C24" s="54">
        <v>900</v>
      </c>
      <c r="D24" s="434" t="s">
        <v>244</v>
      </c>
      <c r="E24" s="12" t="s">
        <v>94</v>
      </c>
      <c r="F24" s="435"/>
    </row>
    <row r="25" spans="1:6" ht="15.75">
      <c r="A25" s="53" t="s">
        <v>475</v>
      </c>
      <c r="B25" s="50" t="s">
        <v>238</v>
      </c>
      <c r="C25" s="427">
        <v>3.0000000000000001E-3</v>
      </c>
      <c r="D25" s="50" t="s">
        <v>476</v>
      </c>
      <c r="E25" s="438" t="s">
        <v>94</v>
      </c>
      <c r="F25" s="435" t="s">
        <v>102</v>
      </c>
    </row>
    <row r="26" spans="1:6" ht="15.75">
      <c r="A26" s="53" t="s">
        <v>477</v>
      </c>
      <c r="B26" s="50" t="s">
        <v>478</v>
      </c>
      <c r="C26" s="55">
        <v>80</v>
      </c>
      <c r="D26" s="50" t="s">
        <v>479</v>
      </c>
      <c r="E26" s="439" t="s">
        <v>94</v>
      </c>
      <c r="F26" s="440" t="s">
        <v>230</v>
      </c>
    </row>
    <row r="27" spans="1:6" ht="15.75">
      <c r="A27" s="56" t="s">
        <v>480</v>
      </c>
      <c r="B27" s="407" t="s">
        <v>481</v>
      </c>
      <c r="C27" s="427">
        <f>5.76*10^13</f>
        <v>57600000000000</v>
      </c>
      <c r="D27" s="407" t="s">
        <v>482</v>
      </c>
      <c r="E27" s="56" t="s">
        <v>483</v>
      </c>
      <c r="F27" s="435" t="s">
        <v>230</v>
      </c>
    </row>
    <row r="28" spans="1:6" ht="18.75">
      <c r="A28" s="56" t="s">
        <v>484</v>
      </c>
      <c r="B28" s="427" t="s">
        <v>485</v>
      </c>
      <c r="C28" s="441">
        <f>1.99*10^9</f>
        <v>1990000000</v>
      </c>
      <c r="D28" s="407" t="s">
        <v>486</v>
      </c>
      <c r="E28" s="56"/>
      <c r="F28" s="435" t="s">
        <v>230</v>
      </c>
    </row>
    <row r="29" spans="1:6" ht="16.5" thickBot="1">
      <c r="A29" s="57"/>
      <c r="B29" s="406"/>
      <c r="C29" s="7"/>
      <c r="D29" s="6"/>
      <c r="E29" s="2"/>
      <c r="F29" s="2"/>
    </row>
    <row r="30" spans="1:6" ht="16.5" thickBot="1">
      <c r="A30" s="536" t="s">
        <v>248</v>
      </c>
      <c r="B30" s="537"/>
      <c r="C30" s="537"/>
      <c r="D30" s="537"/>
      <c r="E30" s="538"/>
      <c r="F30" s="2"/>
    </row>
    <row r="31" spans="1:6" ht="15.75">
      <c r="A31" s="64" t="s">
        <v>487</v>
      </c>
      <c r="B31" s="66" t="s">
        <v>488</v>
      </c>
      <c r="C31" s="66">
        <v>5</v>
      </c>
      <c r="D31" s="66" t="s">
        <v>489</v>
      </c>
      <c r="E31" s="72"/>
      <c r="F31" s="2"/>
    </row>
    <row r="32" spans="1:6" ht="15.75">
      <c r="A32" s="64" t="s">
        <v>490</v>
      </c>
      <c r="B32" s="66" t="s">
        <v>491</v>
      </c>
      <c r="C32" s="66">
        <f>3*3600*0.2</f>
        <v>2160</v>
      </c>
      <c r="D32" s="66" t="s">
        <v>492</v>
      </c>
      <c r="E32" s="19" t="s">
        <v>493</v>
      </c>
      <c r="F32" s="2"/>
    </row>
    <row r="33" spans="1:6" ht="15.75">
      <c r="A33" s="64" t="s">
        <v>494</v>
      </c>
      <c r="B33" s="66" t="s">
        <v>333</v>
      </c>
      <c r="C33" s="66">
        <f>3*3600*0.8</f>
        <v>8640</v>
      </c>
      <c r="D33" s="66" t="s">
        <v>492</v>
      </c>
      <c r="E33" s="19"/>
      <c r="F33" s="2"/>
    </row>
    <row r="34" spans="1:6" ht="16.5" thickBot="1">
      <c r="A34" s="2"/>
      <c r="B34" s="6"/>
      <c r="C34" s="7"/>
      <c r="D34" s="6"/>
      <c r="E34" s="2"/>
      <c r="F34" s="2"/>
    </row>
    <row r="35" spans="1:6" ht="15.75" thickBot="1">
      <c r="A35" s="536" t="s">
        <v>252</v>
      </c>
      <c r="B35" s="537"/>
      <c r="C35" s="537"/>
      <c r="D35" s="537"/>
      <c r="E35" s="537"/>
      <c r="F35" s="538"/>
    </row>
    <row r="36" spans="1:6" ht="15.75" thickBot="1">
      <c r="A36" s="23" t="s">
        <v>204</v>
      </c>
      <c r="B36" s="24" t="s">
        <v>205</v>
      </c>
      <c r="C36" s="25" t="s">
        <v>206</v>
      </c>
      <c r="D36" s="24" t="s">
        <v>207</v>
      </c>
      <c r="E36" s="23" t="s">
        <v>253</v>
      </c>
      <c r="F36" s="23" t="s">
        <v>172</v>
      </c>
    </row>
    <row r="37" spans="1:6" ht="18">
      <c r="A37" s="65" t="s">
        <v>495</v>
      </c>
      <c r="B37" s="67" t="s">
        <v>496</v>
      </c>
      <c r="C37" s="67">
        <f>((C17*C20/C24)+(C17*C19/C23))/C31</f>
        <v>2.445692775625349</v>
      </c>
      <c r="D37" s="442" t="s">
        <v>497</v>
      </c>
      <c r="E37" s="434" t="s">
        <v>498</v>
      </c>
      <c r="F37" s="1"/>
    </row>
    <row r="38" spans="1:6" ht="18">
      <c r="A38" s="51" t="s">
        <v>499</v>
      </c>
      <c r="B38" s="406" t="s">
        <v>500</v>
      </c>
      <c r="C38" s="62">
        <f>(C18*C22)/(C31*C37)</f>
        <v>37.709746815550346</v>
      </c>
      <c r="D38" s="427" t="s">
        <v>244</v>
      </c>
      <c r="E38" s="427" t="s">
        <v>501</v>
      </c>
      <c r="F38" s="9"/>
    </row>
    <row r="39" spans="1:6" ht="93">
      <c r="A39" s="9" t="s">
        <v>502</v>
      </c>
      <c r="B39" s="407" t="s">
        <v>436</v>
      </c>
      <c r="C39" s="63">
        <f>((C25*C28/(C26*1000*C37))+SQRT((C25*C28/(C26*1000*C37))^2+(4*C25*C27*C38*C33/(2*C26*1000*C37^2))))/(2*C33/C37^2)</f>
        <v>167.92332813273839</v>
      </c>
      <c r="D39" s="427" t="s">
        <v>503</v>
      </c>
      <c r="E39" s="427" t="s">
        <v>504</v>
      </c>
      <c r="F39" s="9"/>
    </row>
    <row r="40" spans="1:6" ht="15.75">
      <c r="A40" s="2"/>
      <c r="B40" s="2"/>
      <c r="C40" s="2"/>
      <c r="D40" s="2"/>
      <c r="E40" s="2"/>
      <c r="F40" s="2"/>
    </row>
    <row r="41" spans="1:6" ht="15.75">
      <c r="A41" s="8" t="s">
        <v>33</v>
      </c>
      <c r="B41" s="2"/>
      <c r="C41" s="2"/>
      <c r="D41" s="2"/>
      <c r="E41" s="2"/>
      <c r="F41" s="2"/>
    </row>
    <row r="42" spans="1:6" ht="15.75">
      <c r="A42" s="569" t="s">
        <v>505</v>
      </c>
      <c r="B42" s="569"/>
      <c r="C42" s="569"/>
      <c r="D42" s="569"/>
      <c r="E42" s="2"/>
      <c r="F42" s="2"/>
    </row>
    <row r="43" spans="1:6" ht="15.75">
      <c r="A43" s="569"/>
      <c r="B43" s="569"/>
      <c r="C43" s="569"/>
      <c r="D43" s="569"/>
      <c r="E43" s="2"/>
      <c r="F43" s="2"/>
    </row>
    <row r="44" spans="1:6" ht="15.75">
      <c r="A44" s="569" t="s">
        <v>506</v>
      </c>
      <c r="B44" s="569"/>
      <c r="C44" s="569"/>
      <c r="D44" s="569"/>
      <c r="E44" s="2"/>
      <c r="F44" s="2"/>
    </row>
    <row r="45" spans="1:6" ht="15.75">
      <c r="A45" s="569"/>
      <c r="B45" s="569"/>
      <c r="C45" s="569"/>
      <c r="D45" s="569"/>
      <c r="E45" s="2"/>
      <c r="F45" s="2"/>
    </row>
    <row r="46" spans="1:6" ht="15.75">
      <c r="A46" s="410"/>
      <c r="B46" s="2"/>
      <c r="C46" s="2"/>
      <c r="D46" s="2"/>
      <c r="E46" s="2"/>
      <c r="F46" s="2"/>
    </row>
    <row r="47" spans="1:6" ht="15.75">
      <c r="A47" s="4"/>
      <c r="B47" s="2"/>
      <c r="C47" s="2"/>
      <c r="D47" s="2"/>
      <c r="E47" s="2"/>
      <c r="F47" s="2"/>
    </row>
    <row r="48" spans="1:6" ht="15.75">
      <c r="A48" s="203"/>
      <c r="B48" s="203"/>
      <c r="C48" s="203"/>
      <c r="D48" s="203"/>
      <c r="E48" s="2"/>
      <c r="F48" s="2"/>
    </row>
  </sheetData>
  <mergeCells count="8">
    <mergeCell ref="A42:D43"/>
    <mergeCell ref="A44:D45"/>
    <mergeCell ref="A35:F35"/>
    <mergeCell ref="A1:C13"/>
    <mergeCell ref="E1:G5"/>
    <mergeCell ref="E7:G11"/>
    <mergeCell ref="A14:F14"/>
    <mergeCell ref="A30:E3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5997B4ED7D7424782A28EBCF884E32C" ma:contentTypeVersion="4" ma:contentTypeDescription="Crear nuevo documento." ma:contentTypeScope="" ma:versionID="09e11f69744cb41cf9aed8d30bb0d0db">
  <xsd:schema xmlns:xsd="http://www.w3.org/2001/XMLSchema" xmlns:xs="http://www.w3.org/2001/XMLSchema" xmlns:p="http://schemas.microsoft.com/office/2006/metadata/properties" xmlns:ns2="58f5e41c-236a-498a-ac74-890ab122806e" targetNamespace="http://schemas.microsoft.com/office/2006/metadata/properties" ma:root="true" ma:fieldsID="0cad5c0cc2cbc9792b98bde8a31b5a2d" ns2:_="">
    <xsd:import namespace="58f5e41c-236a-498a-ac74-890ab122806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5e41c-236a-498a-ac74-890ab12280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BBEAA6-31A4-4255-8755-A7E29E9C7C55}">
  <ds:schemaRefs>
    <ds:schemaRef ds:uri="http://schemas.microsoft.com/sharepoint/v3/contenttype/forms"/>
  </ds:schemaRefs>
</ds:datastoreItem>
</file>

<file path=customXml/itemProps2.xml><?xml version="1.0" encoding="utf-8"?>
<ds:datastoreItem xmlns:ds="http://schemas.openxmlformats.org/officeDocument/2006/customXml" ds:itemID="{7343041E-AB48-4141-8D3C-76D943124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f5e41c-236a-498a-ac74-890ab12280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832C82-BE1E-4B30-9D14-5E3F37490E1C}">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58f5e41c-236a-498a-ac74-890ab122806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Balance Global</vt:lpstr>
      <vt:lpstr>Línea Leche de almendra</vt:lpstr>
      <vt:lpstr>Linea de Queso de Almendra</vt:lpstr>
      <vt:lpstr>Línea de Pellet de Almendra</vt:lpstr>
      <vt:lpstr>Línea de Potabilización de Agua</vt:lpstr>
      <vt:lpstr>Ciclón</vt:lpstr>
      <vt:lpstr>Tanque de Remojo</vt:lpstr>
      <vt:lpstr>Intercambiador de calor</vt:lpstr>
      <vt:lpstr>Filtro prensa</vt:lpstr>
      <vt:lpstr>Reacción ácida</vt:lpstr>
      <vt:lpstr>Autoclave</vt:lpstr>
      <vt:lpstr>Sedimentador</vt:lpstr>
      <vt:lpstr>PFR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Constanza</dc:creator>
  <cp:keywords/>
  <dc:description/>
  <cp:lastModifiedBy>Talo</cp:lastModifiedBy>
  <cp:revision/>
  <dcterms:created xsi:type="dcterms:W3CDTF">2018-10-19T18:23:37Z</dcterms:created>
  <dcterms:modified xsi:type="dcterms:W3CDTF">2018-12-13T22:46:46Z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0x010100D5997B4ED7D7424782A28EBCF884E32C</vt:lpwstr>
  </property>
</Properties>
</file>