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drawings/drawing6.xml" ContentType="application/vnd.openxmlformats-officedocument.drawing+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drawings/drawing7.xml" ContentType="application/vnd.openxmlformats-officedocument.drawing+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drawings/drawing8.xml" ContentType="application/vnd.openxmlformats-officedocument.drawing+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drawings/drawing9.xml" ContentType="application/vnd.openxmlformats-officedocument.drawing+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drawings/drawing10.xml" ContentType="application/vnd.openxmlformats-officedocument.drawing+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drawings/drawing11.xml" ContentType="application/vnd.openxmlformats-officedocument.drawing+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drawings/drawing12.xml" ContentType="application/vnd.openxmlformats-officedocument.drawing+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drawings/drawing13.xml" ContentType="application/vnd.openxmlformats-officedocument.drawing+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drawings/drawing14.xml" ContentType="application/vnd.openxmlformats-officedocument.drawing+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umnos\Desktop\"/>
    </mc:Choice>
  </mc:AlternateContent>
  <bookViews>
    <workbookView xWindow="0" yWindow="0" windowWidth="24000" windowHeight="9630" tabRatio="869" firstSheet="2" activeTab="3"/>
  </bookViews>
  <sheets>
    <sheet name="Balance de Masa Global" sheetId="11" r:id="rId1"/>
    <sheet name="Flowsheet" sheetId="29" r:id="rId2"/>
    <sheet name="Cloración" sheetId="26" r:id="rId3"/>
    <sheet name="Canaleta de Parshall " sheetId="24" r:id="rId4"/>
    <sheet name="Floculación" sheetId="25" r:id="rId5"/>
    <sheet name="Sedimentador" sheetId="27" r:id="rId6"/>
    <sheet name="Filtro lecho" sheetId="28" r:id="rId7"/>
    <sheet name="Reactor Batch 1" sheetId="6" r:id="rId8"/>
    <sheet name="Filtro prensa" sheetId="2" r:id="rId9"/>
    <sheet name="Cocción" sheetId="7" r:id="rId10"/>
    <sheet name="IC_1" sheetId="1" r:id="rId11"/>
    <sheet name="Whirlpool" sheetId="17" r:id="rId12"/>
    <sheet name="IC_2" sheetId="3" r:id="rId13"/>
    <sheet name="Caldera" sheetId="20" r:id="rId14"/>
    <sheet name="Fermentador" sheetId="4" r:id="rId15"/>
    <sheet name="Secador rotatorio" sheetId="21" r:id="rId16"/>
    <sheet name="Maduración" sheetId="22" r:id="rId1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77" i="11" l="1"/>
  <c r="Q49" i="11"/>
  <c r="AW7" i="29" l="1"/>
  <c r="AU7" i="29" l="1"/>
  <c r="AV7" i="29"/>
  <c r="AJ7" i="29"/>
  <c r="AK7" i="29"/>
  <c r="AL7" i="29" s="1"/>
  <c r="AM7" i="29" s="1"/>
  <c r="AN7" i="29" s="1"/>
  <c r="AO7" i="29" s="1"/>
  <c r="AP7" i="29" s="1"/>
  <c r="AQ7" i="29" s="1"/>
  <c r="AR7" i="29" s="1"/>
  <c r="AS7" i="29" s="1"/>
  <c r="AT7" i="29" s="1"/>
  <c r="D44" i="1" l="1"/>
  <c r="D59" i="1" s="1"/>
  <c r="D60" i="3"/>
  <c r="D45" i="3"/>
  <c r="J12" i="29" l="1"/>
  <c r="AD7" i="29"/>
  <c r="AE7" i="29"/>
  <c r="AF7" i="29" s="1"/>
  <c r="AG7" i="29" s="1"/>
  <c r="AH7" i="29" s="1"/>
  <c r="AI7" i="29" s="1"/>
  <c r="D7" i="29"/>
  <c r="E7" i="29" s="1"/>
  <c r="F7" i="29" s="1"/>
  <c r="G7" i="29" s="1"/>
  <c r="H7" i="29" s="1"/>
  <c r="I7" i="29" s="1"/>
  <c r="J7" i="29" s="1"/>
  <c r="K7" i="29" s="1"/>
  <c r="L7" i="29" s="1"/>
  <c r="M7" i="29" s="1"/>
  <c r="N7" i="29" s="1"/>
  <c r="O7" i="29" s="1"/>
  <c r="P7" i="29" s="1"/>
  <c r="Q7" i="29" s="1"/>
  <c r="R7" i="29" s="1"/>
  <c r="S7" i="29" s="1"/>
  <c r="T7" i="29" s="1"/>
  <c r="U7" i="29" s="1"/>
  <c r="V7" i="29" s="1"/>
  <c r="W7" i="29" s="1"/>
  <c r="X7" i="29" s="1"/>
  <c r="Y7" i="29" s="1"/>
  <c r="Z7" i="29" s="1"/>
  <c r="AA7" i="29" s="1"/>
  <c r="AB7" i="29" s="1"/>
  <c r="AC7" i="29" s="1"/>
  <c r="C7" i="29"/>
  <c r="P69" i="11"/>
  <c r="P68" i="11"/>
  <c r="K67" i="11"/>
  <c r="J66" i="11"/>
  <c r="X68" i="11" s="1"/>
  <c r="H65" i="11"/>
  <c r="B37" i="11"/>
  <c r="P11" i="11"/>
  <c r="P10" i="11"/>
  <c r="B65" i="11"/>
  <c r="K9" i="11"/>
  <c r="X11" i="11" s="1"/>
  <c r="J8" i="11"/>
  <c r="H7" i="11"/>
  <c r="B7" i="11"/>
  <c r="P41" i="11"/>
  <c r="P40" i="11"/>
  <c r="K47" i="27"/>
  <c r="K27" i="27"/>
  <c r="K46" i="27"/>
  <c r="K26" i="27"/>
  <c r="K44" i="27"/>
  <c r="K45" i="27"/>
  <c r="K36" i="27"/>
  <c r="K34" i="27"/>
  <c r="K35" i="27"/>
  <c r="K25" i="27"/>
  <c r="K24" i="27"/>
  <c r="K39" i="28"/>
  <c r="J14" i="28" s="1"/>
  <c r="C37" i="28"/>
  <c r="C38" i="28" s="1"/>
  <c r="C34" i="28"/>
  <c r="C35" i="28" s="1"/>
  <c r="C36" i="28" s="1"/>
  <c r="C33" i="28"/>
  <c r="C31" i="28"/>
  <c r="K30" i="28"/>
  <c r="J13" i="28" s="1"/>
  <c r="K21" i="28"/>
  <c r="C46" i="27"/>
  <c r="C33" i="27"/>
  <c r="C42" i="27" s="1"/>
  <c r="C29" i="27"/>
  <c r="C28" i="27"/>
  <c r="C47" i="27" s="1"/>
  <c r="K39" i="11"/>
  <c r="X40" i="11" s="1"/>
  <c r="J38" i="11"/>
  <c r="D40" i="25"/>
  <c r="D36" i="25"/>
  <c r="D32" i="25"/>
  <c r="D54" i="24"/>
  <c r="D50" i="24"/>
  <c r="D46" i="24"/>
  <c r="D40" i="26"/>
  <c r="D32" i="26"/>
  <c r="D36" i="26"/>
  <c r="H37" i="11" s="1"/>
  <c r="C42" i="11"/>
  <c r="D23" i="25"/>
  <c r="D24" i="25"/>
  <c r="D35" i="25"/>
  <c r="D23" i="24"/>
  <c r="W41" i="11" l="1"/>
  <c r="C100" i="11"/>
  <c r="C93" i="11"/>
  <c r="X69" i="11"/>
  <c r="C101" i="11"/>
  <c r="D93" i="11"/>
  <c r="B11" i="29"/>
  <c r="D11" i="29" s="1"/>
  <c r="I12" i="29"/>
  <c r="E13" i="29"/>
  <c r="F13" i="29" s="1"/>
  <c r="H13" i="29" s="1"/>
  <c r="I13" i="29" s="1"/>
  <c r="J13" i="29" s="1"/>
  <c r="K12" i="29"/>
  <c r="L12" i="29" s="1"/>
  <c r="M12" i="29" s="1"/>
  <c r="W10" i="11"/>
  <c r="C12" i="29"/>
  <c r="D12" i="29" s="1"/>
  <c r="W69" i="11"/>
  <c r="K13" i="29"/>
  <c r="W40" i="11"/>
  <c r="W11" i="11"/>
  <c r="W68" i="11"/>
  <c r="X10" i="11"/>
  <c r="G14" i="29"/>
  <c r="H14" i="29" s="1"/>
  <c r="X41" i="11"/>
  <c r="J17" i="27"/>
  <c r="M46" i="27" s="1"/>
  <c r="C39" i="28"/>
  <c r="K31" i="28"/>
  <c r="K32" i="28" s="1"/>
  <c r="M32" i="28" s="1"/>
  <c r="J12" i="28"/>
  <c r="K22" i="28"/>
  <c r="K23" i="28" s="1"/>
  <c r="K40" i="28"/>
  <c r="M40" i="28" s="1"/>
  <c r="C43" i="27"/>
  <c r="C38" i="27" s="1"/>
  <c r="C44" i="27" s="1"/>
  <c r="C45" i="27" s="1"/>
  <c r="J15" i="27"/>
  <c r="M26" i="27" s="1"/>
  <c r="J16" i="27"/>
  <c r="M36" i="27" s="1"/>
  <c r="K37" i="27"/>
  <c r="C70" i="11"/>
  <c r="D22" i="7"/>
  <c r="D100" i="11" l="1"/>
  <c r="D101" i="11"/>
  <c r="F12" i="29"/>
  <c r="H12" i="29" s="1"/>
  <c r="L13" i="29"/>
  <c r="I14" i="29"/>
  <c r="J14" i="29" s="1"/>
  <c r="K14" i="29"/>
  <c r="K41" i="28"/>
  <c r="M41" i="28" s="1"/>
  <c r="M31" i="28"/>
  <c r="J34" i="28" s="1"/>
  <c r="M22" i="28"/>
  <c r="M23" i="28"/>
  <c r="J43" i="28"/>
  <c r="M47" i="27"/>
  <c r="J49" i="27" s="1"/>
  <c r="M27" i="27"/>
  <c r="M37" i="27"/>
  <c r="F140" i="20"/>
  <c r="F143" i="20"/>
  <c r="F131" i="20"/>
  <c r="F134" i="20"/>
  <c r="F122" i="20"/>
  <c r="F125" i="20"/>
  <c r="F14" i="20"/>
  <c r="F123" i="20" s="1"/>
  <c r="F12" i="20"/>
  <c r="F130" i="20" s="1"/>
  <c r="F10" i="20"/>
  <c r="F119" i="20" s="1"/>
  <c r="F15" i="20"/>
  <c r="F142" i="20" s="1"/>
  <c r="F11" i="20"/>
  <c r="F138" i="20" s="1"/>
  <c r="L14" i="29" l="1"/>
  <c r="J29" i="27"/>
  <c r="J25" i="28"/>
  <c r="J39" i="27"/>
  <c r="F124" i="20"/>
  <c r="F129" i="20"/>
  <c r="F133" i="20"/>
  <c r="F121" i="20"/>
  <c r="F132" i="20"/>
  <c r="F141" i="20"/>
  <c r="F120" i="20"/>
  <c r="F137" i="20"/>
  <c r="F128" i="20"/>
  <c r="F139" i="20"/>
  <c r="I14" i="22"/>
  <c r="I15" i="22"/>
  <c r="D8" i="21"/>
  <c r="D19" i="21"/>
  <c r="F31" i="21"/>
  <c r="F32" i="21" s="1"/>
  <c r="F39" i="21"/>
  <c r="C22" i="20"/>
  <c r="C24" i="20"/>
  <c r="C29" i="20"/>
  <c r="C30" i="20"/>
  <c r="C108" i="20" s="1"/>
  <c r="C33" i="20"/>
  <c r="C46" i="20" s="1"/>
  <c r="C95" i="20" s="1"/>
  <c r="C36" i="20"/>
  <c r="C82" i="20"/>
  <c r="C44" i="20" s="1"/>
  <c r="C92" i="20"/>
  <c r="C93" i="20" s="1"/>
  <c r="C96" i="20" s="1"/>
  <c r="C105" i="20"/>
  <c r="C164" i="20"/>
  <c r="C165" i="20"/>
  <c r="C166" i="20"/>
  <c r="C167" i="20"/>
  <c r="C168" i="20"/>
  <c r="F25" i="21" l="1"/>
  <c r="C150" i="20"/>
  <c r="C151" i="20" s="1"/>
  <c r="C152" i="20" s="1"/>
  <c r="K120" i="20" s="1"/>
  <c r="L45" i="11" s="1"/>
  <c r="G39" i="21"/>
  <c r="F34" i="21" s="1"/>
  <c r="C38" i="21"/>
  <c r="C107" i="20"/>
  <c r="C109" i="20" s="1"/>
  <c r="C97" i="20" s="1"/>
  <c r="C99" i="20" s="1"/>
  <c r="L119" i="20" l="1"/>
  <c r="Q119" i="20" s="1"/>
  <c r="L122" i="20"/>
  <c r="Q122" i="20" s="1"/>
  <c r="L121" i="20"/>
  <c r="Q121" i="20" s="1"/>
  <c r="K122" i="20"/>
  <c r="AN25" i="29" s="1"/>
  <c r="L120" i="20"/>
  <c r="Q120" i="20" s="1"/>
  <c r="K121" i="20"/>
  <c r="L73" i="11" s="1"/>
  <c r="K119" i="20"/>
  <c r="L15" i="11" s="1"/>
  <c r="C102" i="11" l="1"/>
  <c r="C12" i="11"/>
  <c r="C110" i="4"/>
  <c r="L110" i="6"/>
  <c r="L109" i="6"/>
  <c r="C148" i="6"/>
  <c r="C95" i="11" l="1"/>
  <c r="N15" i="29"/>
  <c r="O16" i="29" s="1"/>
  <c r="L158" i="6"/>
  <c r="M158" i="6" s="1"/>
  <c r="L159" i="6"/>
  <c r="H159" i="6"/>
  <c r="H158" i="6"/>
  <c r="L135" i="6"/>
  <c r="L134" i="6"/>
  <c r="M134" i="6" s="1"/>
  <c r="H135" i="6"/>
  <c r="H134" i="6"/>
  <c r="H109" i="6"/>
  <c r="M109" i="6"/>
  <c r="H110" i="6"/>
  <c r="D23" i="2" l="1"/>
  <c r="D24" i="2"/>
  <c r="D22" i="2"/>
  <c r="C159" i="6"/>
  <c r="C160" i="6"/>
  <c r="C164" i="6" s="1"/>
  <c r="C136" i="6"/>
  <c r="C151" i="6" s="1"/>
  <c r="C135" i="6"/>
  <c r="C137" i="6" s="1"/>
  <c r="C111" i="6"/>
  <c r="C124" i="6" s="1"/>
  <c r="C19" i="20" s="1"/>
  <c r="C149" i="6" l="1"/>
  <c r="C20" i="20" s="1"/>
  <c r="C175" i="6"/>
  <c r="M161" i="6" s="1"/>
  <c r="C173" i="6"/>
  <c r="C21" i="20" s="1"/>
  <c r="A129" i="20"/>
  <c r="M136" i="6"/>
  <c r="M137" i="6"/>
  <c r="C56" i="2"/>
  <c r="L54" i="2"/>
  <c r="D17" i="2"/>
  <c r="D16" i="2"/>
  <c r="C115" i="6"/>
  <c r="C116" i="6"/>
  <c r="D18" i="2"/>
  <c r="C126" i="6"/>
  <c r="C140" i="6"/>
  <c r="C161" i="6"/>
  <c r="C165" i="6"/>
  <c r="C141" i="6"/>
  <c r="A138" i="20" l="1"/>
  <c r="C139" i="20" s="1"/>
  <c r="I136" i="6"/>
  <c r="I137" i="6" s="1"/>
  <c r="M160" i="6"/>
  <c r="M70" i="2" s="1"/>
  <c r="L70" i="2"/>
  <c r="I160" i="6"/>
  <c r="I161" i="6" s="1"/>
  <c r="C142" i="20"/>
  <c r="C140" i="20"/>
  <c r="C133" i="20"/>
  <c r="C130" i="20"/>
  <c r="C131" i="20"/>
  <c r="C132" i="20"/>
  <c r="A120" i="20"/>
  <c r="C49" i="20" s="1"/>
  <c r="M111" i="6"/>
  <c r="M112" i="6"/>
  <c r="C39" i="2"/>
  <c r="I111" i="6"/>
  <c r="I112" i="6" s="1"/>
  <c r="L37" i="2"/>
  <c r="C143" i="20"/>
  <c r="C137" i="20"/>
  <c r="M54" i="2"/>
  <c r="M138" i="6"/>
  <c r="C134" i="20"/>
  <c r="C128" i="20"/>
  <c r="D128" i="20" s="1"/>
  <c r="C129" i="20"/>
  <c r="C110" i="6"/>
  <c r="C112" i="6" s="1"/>
  <c r="C101" i="6"/>
  <c r="C100" i="6"/>
  <c r="C32" i="6"/>
  <c r="C31" i="6"/>
  <c r="C30" i="6"/>
  <c r="C29" i="6"/>
  <c r="C28" i="6"/>
  <c r="C26" i="6"/>
  <c r="C27" i="6"/>
  <c r="C25" i="6"/>
  <c r="C24" i="6"/>
  <c r="C23" i="6"/>
  <c r="C21" i="6"/>
  <c r="C20" i="6"/>
  <c r="C18" i="6"/>
  <c r="C17" i="6"/>
  <c r="C141" i="20" l="1"/>
  <c r="M162" i="6"/>
  <c r="C138" i="20"/>
  <c r="C72" i="2"/>
  <c r="M113" i="6"/>
  <c r="D141" i="20"/>
  <c r="G141" i="20" s="1"/>
  <c r="D142" i="20"/>
  <c r="G142" i="20" s="1"/>
  <c r="D139" i="20"/>
  <c r="G139" i="20" s="1"/>
  <c r="D140" i="20"/>
  <c r="G140" i="20" s="1"/>
  <c r="D133" i="20"/>
  <c r="G133" i="20" s="1"/>
  <c r="D130" i="20"/>
  <c r="G130" i="20" s="1"/>
  <c r="D131" i="20"/>
  <c r="G131" i="20" s="1"/>
  <c r="D132" i="20"/>
  <c r="G132" i="20" s="1"/>
  <c r="C55" i="20"/>
  <c r="C122" i="20"/>
  <c r="C123" i="20"/>
  <c r="C121" i="20"/>
  <c r="C120" i="20"/>
  <c r="C124" i="20"/>
  <c r="G128" i="20"/>
  <c r="D129" i="20"/>
  <c r="G129" i="20" s="1"/>
  <c r="D134" i="20"/>
  <c r="G134" i="20" s="1"/>
  <c r="M37" i="2"/>
  <c r="M38" i="2" s="1"/>
  <c r="M39" i="2" s="1"/>
  <c r="D143" i="20"/>
  <c r="G143" i="20" s="1"/>
  <c r="D137" i="20"/>
  <c r="G137" i="20" s="1"/>
  <c r="D138" i="20"/>
  <c r="G138" i="20" s="1"/>
  <c r="C119" i="20"/>
  <c r="C125" i="20"/>
  <c r="C50" i="20" l="1"/>
  <c r="C56" i="20"/>
  <c r="J121" i="20"/>
  <c r="M73" i="11" s="1"/>
  <c r="J120" i="20"/>
  <c r="C52" i="20"/>
  <c r="C59" i="20" s="1"/>
  <c r="C54" i="20"/>
  <c r="C58" i="20"/>
  <c r="C57" i="20"/>
  <c r="C53" i="20"/>
  <c r="C60" i="20" s="1"/>
  <c r="C76" i="20" s="1"/>
  <c r="C84" i="20" s="1"/>
  <c r="D119" i="20"/>
  <c r="G119" i="20" s="1"/>
  <c r="D121" i="20"/>
  <c r="G121" i="20" s="1"/>
  <c r="D122" i="20"/>
  <c r="G122" i="20" s="1"/>
  <c r="D124" i="20"/>
  <c r="G124" i="20" s="1"/>
  <c r="D123" i="20"/>
  <c r="G123" i="20" s="1"/>
  <c r="D120" i="20"/>
  <c r="G120" i="20" s="1"/>
  <c r="D125" i="20"/>
  <c r="G125" i="20" s="1"/>
  <c r="C62" i="20" l="1"/>
  <c r="C78" i="20" s="1"/>
  <c r="C86" i="20" s="1"/>
  <c r="F149" i="20"/>
  <c r="G149" i="20" s="1"/>
  <c r="AR19" i="29" s="1"/>
  <c r="AS19" i="29" s="1"/>
  <c r="C73" i="20"/>
  <c r="C94" i="20" s="1"/>
  <c r="C104" i="20" s="1"/>
  <c r="P120" i="20"/>
  <c r="V45" i="11" s="1"/>
  <c r="M45" i="11"/>
  <c r="C61" i="20"/>
  <c r="C77" i="20" s="1"/>
  <c r="C85" i="20" s="1"/>
  <c r="C63" i="20"/>
  <c r="C79" i="20" s="1"/>
  <c r="C87" i="20" s="1"/>
  <c r="C64" i="20"/>
  <c r="C80" i="20" s="1"/>
  <c r="C88" i="20" s="1"/>
  <c r="C65" i="20"/>
  <c r="C81" i="20" s="1"/>
  <c r="C89" i="20" s="1"/>
  <c r="J119" i="20"/>
  <c r="M15" i="11" s="1"/>
  <c r="C66" i="20"/>
  <c r="N120" i="20"/>
  <c r="Q45" i="11" s="1"/>
  <c r="M120" i="20"/>
  <c r="R45" i="11" s="1"/>
  <c r="N121" i="20"/>
  <c r="Q73" i="11" s="1"/>
  <c r="M121" i="20"/>
  <c r="R73" i="11" s="1"/>
  <c r="P121" i="20"/>
  <c r="V73" i="11" s="1"/>
  <c r="C68" i="20"/>
  <c r="C75" i="20"/>
  <c r="G144" i="20"/>
  <c r="J122" i="20" l="1"/>
  <c r="R17" i="29"/>
  <c r="C107" i="11"/>
  <c r="C69" i="20"/>
  <c r="R121" i="20"/>
  <c r="R120" i="20"/>
  <c r="C43" i="20"/>
  <c r="C98" i="20"/>
  <c r="C83" i="20"/>
  <c r="C90" i="20" s="1"/>
  <c r="P119" i="20"/>
  <c r="V15" i="11" s="1"/>
  <c r="D102" i="11" s="1"/>
  <c r="M119" i="20"/>
  <c r="R15" i="11" s="1"/>
  <c r="N119" i="20"/>
  <c r="AP19" i="29" l="1"/>
  <c r="Q15" i="11"/>
  <c r="D103" i="11"/>
  <c r="AO26" i="29"/>
  <c r="R119" i="20"/>
  <c r="N122" i="20"/>
  <c r="M122" i="20"/>
  <c r="P122" i="20"/>
  <c r="AQ25" i="29" s="1"/>
  <c r="C100" i="20"/>
  <c r="C101" i="20" s="1"/>
  <c r="C74" i="20"/>
  <c r="R122" i="20" l="1"/>
  <c r="C21" i="17" l="1"/>
  <c r="D20" i="2"/>
  <c r="D19" i="2"/>
  <c r="D21" i="2"/>
  <c r="D37" i="4" l="1"/>
  <c r="D35" i="4" l="1"/>
  <c r="D33" i="4" l="1"/>
  <c r="C29" i="2" l="1"/>
  <c r="C71" i="2" l="1"/>
  <c r="AJ14" i="11" l="1"/>
  <c r="C38" i="2" l="1"/>
  <c r="C55" i="2"/>
  <c r="G55" i="4" l="1"/>
  <c r="J70" i="2" l="1"/>
  <c r="J54" i="2"/>
  <c r="J56" i="2" l="1"/>
  <c r="L56" i="2" l="1"/>
  <c r="L61" i="2" s="1"/>
  <c r="S43" i="11" s="1"/>
  <c r="M61" i="2"/>
  <c r="T43" i="11" s="1"/>
  <c r="J72" i="2"/>
  <c r="M77" i="2" s="1"/>
  <c r="T71" i="11" s="1"/>
  <c r="J71" i="2" l="1"/>
  <c r="D55" i="7" s="1"/>
  <c r="L72" i="2"/>
  <c r="L77" i="2" s="1"/>
  <c r="S71" i="11" s="1"/>
  <c r="J37" i="2"/>
  <c r="J39" i="2" s="1"/>
  <c r="M44" i="2" s="1"/>
  <c r="T13" i="11" l="1"/>
  <c r="P16" i="29"/>
  <c r="L71" i="2"/>
  <c r="I77" i="2"/>
  <c r="L39" i="2"/>
  <c r="L44" i="2" l="1"/>
  <c r="I81" i="2"/>
  <c r="J81" i="2" s="1"/>
  <c r="G55" i="7"/>
  <c r="I79" i="2"/>
  <c r="F55" i="7"/>
  <c r="D56" i="7"/>
  <c r="J38" i="2"/>
  <c r="S13" i="11" l="1"/>
  <c r="Q17" i="29"/>
  <c r="D57" i="7"/>
  <c r="Q72" i="11" s="1"/>
  <c r="G65" i="7"/>
  <c r="D17" i="7"/>
  <c r="I44" i="2"/>
  <c r="D59" i="7"/>
  <c r="L38" i="2"/>
  <c r="C28" i="2"/>
  <c r="D66" i="3"/>
  <c r="D41" i="3"/>
  <c r="D40" i="3"/>
  <c r="D32" i="3"/>
  <c r="D30" i="3"/>
  <c r="D28" i="3"/>
  <c r="D26" i="3"/>
  <c r="T16" i="29" l="1"/>
  <c r="U16" i="29" s="1"/>
  <c r="S17" i="29"/>
  <c r="C133" i="4"/>
  <c r="C130" i="4"/>
  <c r="C132" i="4"/>
  <c r="C131" i="4"/>
  <c r="G59" i="7"/>
  <c r="C37" i="17" s="1"/>
  <c r="E37" i="17" s="1"/>
  <c r="D54" i="3"/>
  <c r="C65" i="7"/>
  <c r="D65" i="7" s="1"/>
  <c r="D18" i="7"/>
  <c r="D58" i="7"/>
  <c r="C39" i="17" s="1"/>
  <c r="D56" i="3"/>
  <c r="D17" i="3"/>
  <c r="D18" i="3"/>
  <c r="F59" i="7"/>
  <c r="C69" i="7" s="1"/>
  <c r="I48" i="2"/>
  <c r="J48" i="2" s="1"/>
  <c r="G17" i="7"/>
  <c r="I46" i="2"/>
  <c r="F17" i="7"/>
  <c r="D61" i="3"/>
  <c r="C67" i="7" l="1"/>
  <c r="D67" i="7" s="1"/>
  <c r="D62" i="3"/>
  <c r="D55" i="3" s="1"/>
  <c r="D63" i="3" s="1"/>
  <c r="D19" i="7"/>
  <c r="Q14" i="11" s="1"/>
  <c r="G27" i="7"/>
  <c r="D21" i="7"/>
  <c r="C27" i="7" s="1"/>
  <c r="D27" i="7" s="1"/>
  <c r="D36" i="4"/>
  <c r="D16" i="3"/>
  <c r="E17" i="3"/>
  <c r="D19" i="3"/>
  <c r="E19" i="3" s="1"/>
  <c r="D40" i="1"/>
  <c r="D39" i="1"/>
  <c r="D27" i="1"/>
  <c r="D31" i="1"/>
  <c r="D29" i="1"/>
  <c r="D20" i="7" l="1"/>
  <c r="C17" i="17" s="1"/>
  <c r="D21" i="3"/>
  <c r="G21" i="7"/>
  <c r="C15" i="17" s="1"/>
  <c r="F21" i="7"/>
  <c r="C31" i="7" s="1"/>
  <c r="D55" i="1"/>
  <c r="D65" i="1"/>
  <c r="D25" i="1"/>
  <c r="D53" i="1" s="1"/>
  <c r="D17" i="1" l="1"/>
  <c r="D15" i="1" s="1"/>
  <c r="D60" i="1"/>
  <c r="D32" i="4"/>
  <c r="C29" i="7"/>
  <c r="D29" i="7" s="1"/>
  <c r="E15" i="17"/>
  <c r="D15" i="17" s="1"/>
  <c r="D16" i="1"/>
  <c r="D18" i="1" s="1"/>
  <c r="D20" i="1" l="1"/>
  <c r="D61" i="1"/>
  <c r="D54" i="1" s="1"/>
  <c r="D62" i="1" s="1"/>
  <c r="E18" i="1" l="1"/>
  <c r="E16" i="1"/>
  <c r="J55" i="2"/>
  <c r="D36" i="7" s="1"/>
  <c r="L55" i="2" l="1"/>
  <c r="G36" i="7" s="1"/>
  <c r="D37" i="7"/>
  <c r="I61" i="2"/>
  <c r="D38" i="7" l="1"/>
  <c r="Q44" i="11" s="1"/>
  <c r="G46" i="7"/>
  <c r="I63" i="2"/>
  <c r="F36" i="7"/>
  <c r="I65" i="2"/>
  <c r="J65" i="2" s="1"/>
  <c r="D40" i="7"/>
  <c r="F30" i="7" s="1"/>
  <c r="G31" i="7" l="1"/>
  <c r="AV12" i="29" s="1"/>
  <c r="AW12" i="29" s="1"/>
  <c r="F31" i="7"/>
  <c r="AT12" i="29" s="1"/>
  <c r="AU12" i="29" s="1"/>
  <c r="G40" i="7"/>
  <c r="C26" i="17" s="1"/>
  <c r="E26" i="17" s="1"/>
  <c r="W19" i="29"/>
  <c r="X16" i="29" s="1"/>
  <c r="Y16" i="29" s="1"/>
  <c r="D39" i="7"/>
  <c r="C46" i="7"/>
  <c r="D46" i="7" s="1"/>
  <c r="F40" i="7"/>
  <c r="C28" i="17" l="1"/>
  <c r="D25" i="3"/>
  <c r="D24" i="1"/>
  <c r="C48" i="7"/>
  <c r="D48" i="7" s="1"/>
  <c r="D34" i="4"/>
  <c r="C50" i="7"/>
  <c r="D53" i="3" l="1"/>
  <c r="D64" i="3" s="1"/>
  <c r="D65" i="3" s="1"/>
  <c r="D67" i="3" s="1"/>
  <c r="D68" i="3" s="1"/>
  <c r="E18" i="3"/>
  <c r="E16" i="3"/>
  <c r="D52" i="1"/>
  <c r="D63" i="1" s="1"/>
  <c r="D64" i="1" s="1"/>
  <c r="D66" i="1" s="1"/>
  <c r="D67" i="1" s="1"/>
  <c r="E15" i="1"/>
  <c r="E17" i="1"/>
  <c r="AG14" i="11" l="1"/>
  <c r="AI14" i="11"/>
  <c r="C138" i="4" l="1"/>
  <c r="E76" i="11" s="1"/>
  <c r="J140" i="4"/>
  <c r="I132" i="4"/>
  <c r="J132" i="4" s="1"/>
  <c r="I131" i="4"/>
  <c r="J131" i="4" s="1"/>
  <c r="I140" i="4"/>
  <c r="C44" i="21" s="1"/>
  <c r="I130" i="4"/>
  <c r="C137" i="4"/>
  <c r="G46" i="21" l="1"/>
  <c r="I134" i="4"/>
  <c r="J134" i="4" s="1"/>
  <c r="C139" i="4" s="1"/>
  <c r="I135" i="4"/>
  <c r="I133" i="4"/>
  <c r="J133" i="4" s="1"/>
  <c r="C140" i="4" s="1"/>
  <c r="I76" i="11" s="1"/>
  <c r="J130" i="4"/>
  <c r="C141" i="4" l="1"/>
  <c r="B16" i="22" s="1"/>
  <c r="D9" i="22" s="1"/>
  <c r="F9" i="22" s="1"/>
  <c r="N78" i="11" s="1"/>
  <c r="H46" i="21"/>
  <c r="D60" i="7"/>
  <c r="G76" i="11"/>
  <c r="L130" i="4"/>
  <c r="M130" i="4" s="1"/>
  <c r="H140" i="4" s="1"/>
  <c r="L132" i="4"/>
  <c r="M132" i="4" s="1"/>
  <c r="L131" i="4"/>
  <c r="M131" i="4" s="1"/>
  <c r="L133" i="4"/>
  <c r="M133" i="4" s="1"/>
  <c r="E9" i="22" l="1"/>
  <c r="G9" i="22" s="1"/>
  <c r="I46" i="21"/>
  <c r="O77" i="11"/>
  <c r="J46" i="21"/>
  <c r="C38" i="17"/>
  <c r="E38" i="17" s="1"/>
  <c r="E39" i="17" s="1"/>
  <c r="T75" i="11" s="1"/>
  <c r="I136" i="4"/>
  <c r="F78" i="11" l="1"/>
  <c r="H9" i="22"/>
  <c r="U78" i="11"/>
  <c r="S75" i="11"/>
  <c r="K140" i="4"/>
  <c r="J136" i="4"/>
  <c r="H59" i="7"/>
  <c r="I59" i="7" s="1"/>
  <c r="F65" i="7" s="1"/>
  <c r="D72" i="11"/>
  <c r="B82" i="11" l="1"/>
  <c r="D39" i="17"/>
  <c r="B83" i="11"/>
  <c r="G37" i="17" l="1"/>
  <c r="B84" i="11" l="1"/>
  <c r="C82" i="11"/>
  <c r="C107" i="4" l="1"/>
  <c r="J114" i="4" s="1"/>
  <c r="C112" i="4"/>
  <c r="E48" i="11" s="1"/>
  <c r="I114" i="4"/>
  <c r="C43" i="21" s="1"/>
  <c r="G45" i="21" s="1"/>
  <c r="C104" i="4"/>
  <c r="I104" i="4" s="1"/>
  <c r="C106" i="4"/>
  <c r="I106" i="4" s="1"/>
  <c r="J106" i="4" s="1"/>
  <c r="C105" i="4"/>
  <c r="I105" i="4" s="1"/>
  <c r="J105" i="4" s="1"/>
  <c r="C111" i="4"/>
  <c r="I109" i="4" l="1"/>
  <c r="H45" i="21"/>
  <c r="J104" i="4"/>
  <c r="I107" i="4"/>
  <c r="J107" i="4" s="1"/>
  <c r="C114" i="4" s="1"/>
  <c r="I48" i="11" s="1"/>
  <c r="I108" i="4"/>
  <c r="J108" i="4" s="1"/>
  <c r="C113" i="4" s="1"/>
  <c r="I45" i="21" l="1"/>
  <c r="O49" i="11"/>
  <c r="G48" i="11"/>
  <c r="C115" i="4"/>
  <c r="L105" i="4"/>
  <c r="M105" i="4" s="1"/>
  <c r="L107" i="4"/>
  <c r="M107" i="4" s="1"/>
  <c r="L104" i="4"/>
  <c r="M104" i="4" s="1"/>
  <c r="H114" i="4" s="1"/>
  <c r="L106" i="4"/>
  <c r="M106" i="4" s="1"/>
  <c r="J45" i="21" l="1"/>
  <c r="D41" i="7"/>
  <c r="D44" i="11" s="1"/>
  <c r="B15" i="22"/>
  <c r="I111" i="4"/>
  <c r="C27" i="17" l="1"/>
  <c r="H40" i="7"/>
  <c r="I40" i="7" s="1"/>
  <c r="F46" i="7" s="1"/>
  <c r="D8" i="22"/>
  <c r="F8" i="22" s="1"/>
  <c r="N50" i="11" s="1"/>
  <c r="E8" i="22"/>
  <c r="J111" i="4"/>
  <c r="K114" i="4"/>
  <c r="E27" i="17"/>
  <c r="G8" i="22" l="1"/>
  <c r="AI23" i="29"/>
  <c r="F50" i="11"/>
  <c r="B54" i="11" s="1"/>
  <c r="E28" i="17"/>
  <c r="T47" i="11" s="1"/>
  <c r="S47" i="11"/>
  <c r="H8" i="22" l="1"/>
  <c r="U50" i="11"/>
  <c r="AK23" i="29" s="1"/>
  <c r="B55" i="11"/>
  <c r="D28" i="17"/>
  <c r="G26" i="17" l="1"/>
  <c r="D29" i="17"/>
  <c r="B56" i="11" l="1"/>
  <c r="C54" i="11" l="1"/>
  <c r="H21" i="7" l="1"/>
  <c r="I21" i="7" s="1"/>
  <c r="F27" i="7" s="1"/>
  <c r="D14" i="11"/>
  <c r="C16" i="17"/>
  <c r="V18" i="29" l="1"/>
  <c r="X18" i="29" s="1"/>
  <c r="Y18" i="29" s="1"/>
  <c r="C96" i="11"/>
  <c r="E16" i="17"/>
  <c r="S17" i="11" s="1"/>
  <c r="D107" i="11" l="1"/>
  <c r="Z17" i="29"/>
  <c r="E17" i="17"/>
  <c r="T17" i="11" s="1"/>
  <c r="D106" i="11" s="1"/>
  <c r="D16" i="17"/>
  <c r="AA16" i="29"/>
  <c r="AB16" i="29" s="1"/>
  <c r="AC16" i="29" s="1"/>
  <c r="D17" i="17" l="1"/>
  <c r="G15" i="17" s="1"/>
  <c r="C86" i="4" s="1"/>
  <c r="D18" i="17" l="1"/>
  <c r="C82" i="4"/>
  <c r="I82" i="4" s="1"/>
  <c r="J82" i="4" s="1"/>
  <c r="C88" i="4"/>
  <c r="E18" i="11" s="1"/>
  <c r="AF22" i="29" s="1"/>
  <c r="I90" i="4"/>
  <c r="C42" i="21" s="1"/>
  <c r="C87" i="4"/>
  <c r="C83" i="4"/>
  <c r="J90" i="4" s="1"/>
  <c r="C81" i="4"/>
  <c r="I81" i="4" s="1"/>
  <c r="J81" i="4" s="1"/>
  <c r="C80" i="4"/>
  <c r="I80" i="4" s="1"/>
  <c r="C97" i="11" l="1"/>
  <c r="I85" i="4"/>
  <c r="J80" i="4"/>
  <c r="I83" i="4"/>
  <c r="J83" i="4" s="1"/>
  <c r="I84" i="4"/>
  <c r="J84" i="4" s="1"/>
  <c r="G44" i="21"/>
  <c r="C45" i="21"/>
  <c r="D11" i="21" s="1"/>
  <c r="D21" i="21" s="1"/>
  <c r="F24" i="21" l="1"/>
  <c r="F26" i="21"/>
  <c r="AK17" i="11"/>
  <c r="C89" i="4"/>
  <c r="I44" i="21"/>
  <c r="Q19" i="11" s="1"/>
  <c r="D94" i="11" s="1"/>
  <c r="G47" i="21"/>
  <c r="AH22" i="29" s="1"/>
  <c r="H44" i="21"/>
  <c r="O19" i="11" s="1"/>
  <c r="AM22" i="29" s="1"/>
  <c r="AH17" i="11"/>
  <c r="C90" i="4"/>
  <c r="I18" i="11" s="1"/>
  <c r="L81" i="4"/>
  <c r="M81" i="4" s="1"/>
  <c r="L80" i="4"/>
  <c r="M80" i="4" s="1"/>
  <c r="H90" i="4" s="1"/>
  <c r="L82" i="4"/>
  <c r="M82" i="4" s="1"/>
  <c r="L83" i="4"/>
  <c r="M83" i="4" s="1"/>
  <c r="J44" i="21" l="1"/>
  <c r="AE21" i="29"/>
  <c r="AL12" i="29"/>
  <c r="C99" i="11"/>
  <c r="D97" i="11"/>
  <c r="G18" i="11"/>
  <c r="B25" i="11" s="1"/>
  <c r="C91" i="4"/>
  <c r="F28" i="21"/>
  <c r="F29" i="21" s="1"/>
  <c r="F33" i="21" s="1"/>
  <c r="F35" i="21" s="1"/>
  <c r="H47" i="21"/>
  <c r="I47" i="21" s="1"/>
  <c r="J47" i="21" s="1"/>
  <c r="I86" i="4"/>
  <c r="D16" i="21"/>
  <c r="F30" i="21"/>
  <c r="AD20" i="29" l="1"/>
  <c r="C98" i="11"/>
  <c r="C110" i="11" s="1"/>
  <c r="D39" i="21"/>
  <c r="C39" i="21"/>
  <c r="B14" i="22"/>
  <c r="D7" i="22" s="1"/>
  <c r="AG16" i="29" s="1"/>
  <c r="AL19" i="11"/>
  <c r="J86" i="4"/>
  <c r="K90" i="4"/>
  <c r="F7" i="22" l="1"/>
  <c r="N20" i="11" s="1"/>
  <c r="B26" i="11" s="1"/>
  <c r="B27" i="11" l="1"/>
  <c r="AJ24" i="29"/>
  <c r="D108" i="11"/>
  <c r="D110" i="11" s="1"/>
  <c r="H7" i="22"/>
  <c r="C112" i="11" l="1"/>
  <c r="C113" i="11" s="1"/>
  <c r="C25" i="11"/>
</calcChain>
</file>

<file path=xl/sharedStrings.xml><?xml version="1.0" encoding="utf-8"?>
<sst xmlns="http://schemas.openxmlformats.org/spreadsheetml/2006/main" count="4798" uniqueCount="1257">
  <si>
    <t xml:space="preserve">Densidad del mosto </t>
  </si>
  <si>
    <t xml:space="preserve">Símbolo </t>
  </si>
  <si>
    <t>Viscosidad del mosto</t>
  </si>
  <si>
    <t>Capacidad calorífica del mosto</t>
  </si>
  <si>
    <t>Temperatura de entrada del mosto</t>
  </si>
  <si>
    <t>Temperatura de salida del mosto</t>
  </si>
  <si>
    <t>Densidad del agua</t>
  </si>
  <si>
    <t>Viscosidad del agua</t>
  </si>
  <si>
    <t>Capacidad calorífica del agua</t>
  </si>
  <si>
    <t>Temperatura de entrada del agua</t>
  </si>
  <si>
    <t>Temperatura de salida del agua</t>
  </si>
  <si>
    <t>Propiedades</t>
  </si>
  <si>
    <t>Dimensiones del equipo</t>
  </si>
  <si>
    <t>Ancho placas</t>
  </si>
  <si>
    <t>Largo placas</t>
  </si>
  <si>
    <t>Espesor</t>
  </si>
  <si>
    <t>Conductividad placas</t>
  </si>
  <si>
    <t>Área superficia placas</t>
  </si>
  <si>
    <t>Longitud característica del canal</t>
  </si>
  <si>
    <t>[kg/m^3]</t>
  </si>
  <si>
    <r>
      <t>ρ</t>
    </r>
    <r>
      <rPr>
        <sz val="8"/>
        <color theme="1"/>
        <rFont val="Calibri"/>
        <family val="2"/>
        <scheme val="minor"/>
      </rPr>
      <t>c</t>
    </r>
  </si>
  <si>
    <r>
      <t>ρ</t>
    </r>
    <r>
      <rPr>
        <sz val="8"/>
        <color theme="1"/>
        <rFont val="Calibri"/>
        <family val="2"/>
        <scheme val="minor"/>
      </rPr>
      <t>h</t>
    </r>
  </si>
  <si>
    <r>
      <t>µ</t>
    </r>
    <r>
      <rPr>
        <sz val="8"/>
        <color theme="1"/>
        <rFont val="Calibri"/>
        <family val="2"/>
      </rPr>
      <t>h</t>
    </r>
  </si>
  <si>
    <t>Conductividad térmica del mosto</t>
  </si>
  <si>
    <r>
      <t>k</t>
    </r>
    <r>
      <rPr>
        <sz val="8"/>
        <color theme="1"/>
        <rFont val="Calibri"/>
        <family val="2"/>
        <scheme val="minor"/>
      </rPr>
      <t>h</t>
    </r>
  </si>
  <si>
    <r>
      <t>Cp</t>
    </r>
    <r>
      <rPr>
        <sz val="8"/>
        <color theme="1"/>
        <rFont val="Calibri"/>
        <family val="2"/>
        <scheme val="minor"/>
      </rPr>
      <t>h</t>
    </r>
  </si>
  <si>
    <r>
      <t>T</t>
    </r>
    <r>
      <rPr>
        <sz val="8"/>
        <color theme="1"/>
        <rFont val="Calibri"/>
        <family val="2"/>
        <scheme val="minor"/>
      </rPr>
      <t>in,h</t>
    </r>
  </si>
  <si>
    <r>
      <t>T</t>
    </r>
    <r>
      <rPr>
        <sz val="8"/>
        <color theme="1"/>
        <rFont val="Calibri"/>
        <family val="2"/>
        <scheme val="minor"/>
      </rPr>
      <t>out,h</t>
    </r>
  </si>
  <si>
    <r>
      <t>µ</t>
    </r>
    <r>
      <rPr>
        <sz val="8"/>
        <color theme="1"/>
        <rFont val="Calibri"/>
        <family val="2"/>
      </rPr>
      <t>c</t>
    </r>
  </si>
  <si>
    <r>
      <t>k</t>
    </r>
    <r>
      <rPr>
        <sz val="8"/>
        <color theme="1"/>
        <rFont val="Calibri"/>
        <family val="2"/>
        <scheme val="minor"/>
      </rPr>
      <t>c</t>
    </r>
  </si>
  <si>
    <t>Conductividad térmica del agua</t>
  </si>
  <si>
    <r>
      <t>Cp</t>
    </r>
    <r>
      <rPr>
        <sz val="8"/>
        <color theme="1"/>
        <rFont val="Calibri"/>
        <family val="2"/>
        <scheme val="minor"/>
      </rPr>
      <t>c</t>
    </r>
  </si>
  <si>
    <r>
      <t>T</t>
    </r>
    <r>
      <rPr>
        <sz val="8"/>
        <color theme="1"/>
        <rFont val="Calibri"/>
        <family val="2"/>
        <scheme val="minor"/>
      </rPr>
      <t>in,c</t>
    </r>
  </si>
  <si>
    <r>
      <t>T</t>
    </r>
    <r>
      <rPr>
        <sz val="8"/>
        <color theme="1"/>
        <rFont val="Calibri"/>
        <family val="2"/>
        <scheme val="minor"/>
      </rPr>
      <t>out,c</t>
    </r>
  </si>
  <si>
    <t>W</t>
  </si>
  <si>
    <t>L</t>
  </si>
  <si>
    <t>ε</t>
  </si>
  <si>
    <t>k</t>
  </si>
  <si>
    <t>a</t>
  </si>
  <si>
    <t>lc</t>
  </si>
  <si>
    <t>[m]</t>
  </si>
  <si>
    <t>[m^2]</t>
  </si>
  <si>
    <t>[kg/ms]</t>
  </si>
  <si>
    <t>[w/mºC]</t>
  </si>
  <si>
    <t>[C]</t>
  </si>
  <si>
    <t>Magnitud</t>
  </si>
  <si>
    <t>Unidades</t>
  </si>
  <si>
    <t>gravedad</t>
  </si>
  <si>
    <t>g</t>
  </si>
  <si>
    <t>[m/s^2]</t>
  </si>
  <si>
    <t>Parámetros calculados</t>
  </si>
  <si>
    <t>Parámetros operacionales</t>
  </si>
  <si>
    <t>Flujo de mosto</t>
  </si>
  <si>
    <r>
      <t>m</t>
    </r>
    <r>
      <rPr>
        <sz val="8"/>
        <color theme="1"/>
        <rFont val="Calibri"/>
        <family val="2"/>
        <scheme val="minor"/>
      </rPr>
      <t>h</t>
    </r>
  </si>
  <si>
    <t>Adimensionales calculados</t>
  </si>
  <si>
    <t>Reynolds del mosto</t>
  </si>
  <si>
    <t>Prant del mosto</t>
  </si>
  <si>
    <t>Reynolds del agua</t>
  </si>
  <si>
    <t>Prant del agua</t>
  </si>
  <si>
    <t>--</t>
  </si>
  <si>
    <t>Supuestos</t>
  </si>
  <si>
    <t>Bibliografía</t>
  </si>
  <si>
    <t>Símbolo</t>
  </si>
  <si>
    <t xml:space="preserve">Supuestos </t>
  </si>
  <si>
    <t>Bbliografía</t>
  </si>
  <si>
    <t>Ecuación</t>
  </si>
  <si>
    <r>
      <t>Re</t>
    </r>
    <r>
      <rPr>
        <sz val="8"/>
        <color theme="1"/>
        <rFont val="Calibri"/>
        <family val="2"/>
        <scheme val="minor"/>
      </rPr>
      <t>c</t>
    </r>
  </si>
  <si>
    <r>
      <t>Re</t>
    </r>
    <r>
      <rPr>
        <sz val="8"/>
        <color theme="1"/>
        <rFont val="Calibri"/>
        <family val="2"/>
        <scheme val="minor"/>
      </rPr>
      <t>h</t>
    </r>
  </si>
  <si>
    <r>
      <t>Pr</t>
    </r>
    <r>
      <rPr>
        <sz val="8"/>
        <color theme="1"/>
        <rFont val="Calibri"/>
        <family val="2"/>
        <scheme val="minor"/>
      </rPr>
      <t>h</t>
    </r>
  </si>
  <si>
    <r>
      <t>Pr</t>
    </r>
    <r>
      <rPr>
        <sz val="8"/>
        <color theme="1"/>
        <rFont val="Calibri"/>
        <family val="2"/>
        <scheme val="minor"/>
      </rPr>
      <t>c</t>
    </r>
  </si>
  <si>
    <r>
      <t>Re=(m</t>
    </r>
    <r>
      <rPr>
        <sz val="8"/>
        <color theme="1"/>
        <rFont val="Calibri"/>
        <family val="2"/>
        <scheme val="minor"/>
      </rPr>
      <t>c</t>
    </r>
    <r>
      <rPr>
        <sz val="11"/>
        <color theme="1"/>
        <rFont val="Calibri"/>
        <family val="2"/>
        <scheme val="minor"/>
      </rPr>
      <t>*lc*</t>
    </r>
    <r>
      <rPr>
        <sz val="11"/>
        <color theme="1"/>
        <rFont val="Calibri"/>
        <family val="2"/>
      </rPr>
      <t>ρ</t>
    </r>
    <r>
      <rPr>
        <sz val="8"/>
        <color theme="1"/>
        <rFont val="Calibri"/>
        <family val="2"/>
      </rPr>
      <t>c</t>
    </r>
    <r>
      <rPr>
        <sz val="11"/>
        <color theme="1"/>
        <rFont val="Calibri"/>
        <family val="2"/>
      </rPr>
      <t>)/µ</t>
    </r>
    <r>
      <rPr>
        <sz val="8"/>
        <color theme="1"/>
        <rFont val="Calibri"/>
        <family val="2"/>
      </rPr>
      <t>c</t>
    </r>
  </si>
  <si>
    <r>
      <t>Pr=Cp</t>
    </r>
    <r>
      <rPr>
        <sz val="8"/>
        <color theme="1"/>
        <rFont val="Calibri"/>
        <family val="2"/>
        <scheme val="minor"/>
      </rPr>
      <t>h</t>
    </r>
    <r>
      <rPr>
        <sz val="11"/>
        <color theme="1"/>
        <rFont val="Calibri"/>
        <family val="2"/>
        <scheme val="minor"/>
      </rPr>
      <t>*</t>
    </r>
    <r>
      <rPr>
        <sz val="11"/>
        <color theme="1"/>
        <rFont val="Calibri"/>
        <family val="2"/>
      </rPr>
      <t>µ</t>
    </r>
    <r>
      <rPr>
        <sz val="8"/>
        <color theme="1"/>
        <rFont val="Calibri"/>
        <family val="2"/>
      </rPr>
      <t>h</t>
    </r>
    <r>
      <rPr>
        <sz val="11"/>
        <color theme="1"/>
        <rFont val="Calibri"/>
        <family val="2"/>
      </rPr>
      <t>/k</t>
    </r>
    <r>
      <rPr>
        <sz val="8"/>
        <color theme="1"/>
        <rFont val="Calibri"/>
        <family val="2"/>
      </rPr>
      <t>h</t>
    </r>
  </si>
  <si>
    <r>
      <t>Pr=Cp</t>
    </r>
    <r>
      <rPr>
        <sz val="8"/>
        <color theme="1"/>
        <rFont val="Calibri"/>
        <family val="2"/>
        <scheme val="minor"/>
      </rPr>
      <t>c</t>
    </r>
    <r>
      <rPr>
        <sz val="11"/>
        <color theme="1"/>
        <rFont val="Calibri"/>
        <family val="2"/>
        <scheme val="minor"/>
      </rPr>
      <t>*</t>
    </r>
    <r>
      <rPr>
        <sz val="11"/>
        <color theme="1"/>
        <rFont val="Calibri"/>
        <family val="2"/>
      </rPr>
      <t>µ</t>
    </r>
    <r>
      <rPr>
        <sz val="8"/>
        <color theme="1"/>
        <rFont val="Calibri"/>
        <family val="2"/>
      </rPr>
      <t>c</t>
    </r>
    <r>
      <rPr>
        <sz val="11"/>
        <color theme="1"/>
        <rFont val="Calibri"/>
        <family val="2"/>
      </rPr>
      <t>/k</t>
    </r>
    <r>
      <rPr>
        <sz val="8"/>
        <color theme="1"/>
        <rFont val="Calibri"/>
        <family val="2"/>
      </rPr>
      <t>c</t>
    </r>
  </si>
  <si>
    <t>Flujo de agua</t>
  </si>
  <si>
    <t>Coeficiente de transferencia convectiva del agua</t>
  </si>
  <si>
    <t>Coeficiente de transferencia global</t>
  </si>
  <si>
    <t>U</t>
  </si>
  <si>
    <t>Coeficiente de transferencia convectiva del mosto</t>
  </si>
  <si>
    <r>
      <t>h</t>
    </r>
    <r>
      <rPr>
        <sz val="8"/>
        <color theme="1"/>
        <rFont val="Calibri"/>
        <family val="2"/>
        <scheme val="minor"/>
      </rPr>
      <t>h</t>
    </r>
  </si>
  <si>
    <r>
      <t>h</t>
    </r>
    <r>
      <rPr>
        <sz val="8"/>
        <color theme="1"/>
        <rFont val="Calibri"/>
        <family val="2"/>
        <scheme val="minor"/>
      </rPr>
      <t>c</t>
    </r>
  </si>
  <si>
    <r>
      <t>m</t>
    </r>
    <r>
      <rPr>
        <sz val="8"/>
        <color theme="1"/>
        <rFont val="Calibri"/>
        <family val="2"/>
        <scheme val="minor"/>
      </rPr>
      <t>c</t>
    </r>
  </si>
  <si>
    <t>Se considera que todo el calor liberado por el mosto es absorvido por el agua</t>
  </si>
  <si>
    <r>
      <t>m</t>
    </r>
    <r>
      <rPr>
        <sz val="8"/>
        <color theme="1"/>
        <rFont val="Calibri"/>
        <family val="2"/>
        <scheme val="minor"/>
      </rPr>
      <t>c</t>
    </r>
    <r>
      <rPr>
        <sz val="11"/>
        <color theme="1"/>
        <rFont val="Calibri"/>
        <family val="2"/>
        <scheme val="minor"/>
      </rPr>
      <t>=m</t>
    </r>
    <r>
      <rPr>
        <sz val="8"/>
        <color theme="1"/>
        <rFont val="Calibri"/>
        <family val="2"/>
        <scheme val="minor"/>
      </rPr>
      <t>h</t>
    </r>
    <r>
      <rPr>
        <sz val="11"/>
        <color theme="1"/>
        <rFont val="Calibri"/>
        <family val="2"/>
        <scheme val="minor"/>
      </rPr>
      <t>*Cp</t>
    </r>
    <r>
      <rPr>
        <sz val="8"/>
        <color theme="1"/>
        <rFont val="Calibri"/>
        <family val="2"/>
        <scheme val="minor"/>
      </rPr>
      <t>h</t>
    </r>
    <r>
      <rPr>
        <sz val="11"/>
        <color theme="1"/>
        <rFont val="Calibri"/>
        <family val="2"/>
        <scheme val="minor"/>
      </rPr>
      <t>*(T</t>
    </r>
    <r>
      <rPr>
        <sz val="8"/>
        <color theme="1"/>
        <rFont val="Calibri"/>
        <family val="2"/>
        <scheme val="minor"/>
      </rPr>
      <t>in,h</t>
    </r>
    <r>
      <rPr>
        <sz val="11"/>
        <color theme="1"/>
        <rFont val="Calibri"/>
        <family val="2"/>
        <scheme val="minor"/>
      </rPr>
      <t>-T</t>
    </r>
    <r>
      <rPr>
        <sz val="8"/>
        <color theme="1"/>
        <rFont val="Calibri"/>
        <family val="2"/>
        <scheme val="minor"/>
      </rPr>
      <t>out,h</t>
    </r>
    <r>
      <rPr>
        <sz val="11"/>
        <color theme="1"/>
        <rFont val="Calibri"/>
        <family val="2"/>
        <scheme val="minor"/>
      </rPr>
      <t>)/(Cp</t>
    </r>
    <r>
      <rPr>
        <sz val="8"/>
        <color theme="1"/>
        <rFont val="Calibri"/>
        <family val="2"/>
        <scheme val="minor"/>
      </rPr>
      <t>c</t>
    </r>
    <r>
      <rPr>
        <sz val="11"/>
        <color theme="1"/>
        <rFont val="Calibri"/>
        <family val="2"/>
        <scheme val="minor"/>
      </rPr>
      <t>*(T</t>
    </r>
    <r>
      <rPr>
        <sz val="8"/>
        <color theme="1"/>
        <rFont val="Calibri"/>
        <family val="2"/>
        <scheme val="minor"/>
      </rPr>
      <t>out,c</t>
    </r>
    <r>
      <rPr>
        <sz val="11"/>
        <color theme="1"/>
        <rFont val="Calibri"/>
        <family val="2"/>
        <scheme val="minor"/>
      </rPr>
      <t>-T</t>
    </r>
    <r>
      <rPr>
        <sz val="8"/>
        <color theme="1"/>
        <rFont val="Calibri"/>
        <family val="2"/>
        <scheme val="minor"/>
      </rPr>
      <t>in,c</t>
    </r>
    <r>
      <rPr>
        <sz val="11"/>
        <color theme="1"/>
        <rFont val="Calibri"/>
        <family val="2"/>
        <scheme val="minor"/>
      </rPr>
      <t>))</t>
    </r>
  </si>
  <si>
    <t>[w/mK]</t>
  </si>
  <si>
    <t>delta temperatura logaritmico</t>
  </si>
  <si>
    <t>ΔTl</t>
  </si>
  <si>
    <r>
      <t>ΔTl=[(T</t>
    </r>
    <r>
      <rPr>
        <sz val="8"/>
        <color theme="1"/>
        <rFont val="Calibri"/>
        <family val="2"/>
      </rPr>
      <t>in,h</t>
    </r>
    <r>
      <rPr>
        <sz val="11"/>
        <color theme="1"/>
        <rFont val="Calibri"/>
        <family val="2"/>
      </rPr>
      <t>-T</t>
    </r>
    <r>
      <rPr>
        <sz val="8"/>
        <color theme="1"/>
        <rFont val="Calibri"/>
        <family val="2"/>
      </rPr>
      <t>out,c</t>
    </r>
    <r>
      <rPr>
        <sz val="11"/>
        <color theme="1"/>
        <rFont val="Calibri"/>
        <family val="2"/>
      </rPr>
      <t>)-(T</t>
    </r>
    <r>
      <rPr>
        <sz val="8"/>
        <color theme="1"/>
        <rFont val="Calibri"/>
        <family val="2"/>
      </rPr>
      <t>out,h</t>
    </r>
    <r>
      <rPr>
        <sz val="11"/>
        <color theme="1"/>
        <rFont val="Calibri"/>
        <family val="2"/>
      </rPr>
      <t>-T</t>
    </r>
    <r>
      <rPr>
        <sz val="8"/>
        <color theme="1"/>
        <rFont val="Calibri"/>
        <family val="2"/>
      </rPr>
      <t>in,h</t>
    </r>
    <r>
      <rPr>
        <sz val="11"/>
        <color theme="1"/>
        <rFont val="Calibri"/>
        <family val="2"/>
      </rPr>
      <t>)]/ln((T</t>
    </r>
    <r>
      <rPr>
        <sz val="8"/>
        <color theme="1"/>
        <rFont val="Calibri"/>
        <family val="2"/>
      </rPr>
      <t>in,h</t>
    </r>
    <r>
      <rPr>
        <sz val="11"/>
        <color theme="1"/>
        <rFont val="Calibri"/>
        <family val="2"/>
      </rPr>
      <t>-T</t>
    </r>
    <r>
      <rPr>
        <sz val="8"/>
        <color theme="1"/>
        <rFont val="Calibri"/>
        <family val="2"/>
      </rPr>
      <t>out,c</t>
    </r>
    <r>
      <rPr>
        <sz val="11"/>
        <color theme="1"/>
        <rFont val="Calibri"/>
        <family val="2"/>
      </rPr>
      <t>)/(T</t>
    </r>
    <r>
      <rPr>
        <sz val="8"/>
        <color theme="1"/>
        <rFont val="Calibri"/>
        <family val="2"/>
      </rPr>
      <t>out,h</t>
    </r>
    <r>
      <rPr>
        <sz val="11"/>
        <color theme="1"/>
        <rFont val="Calibri"/>
        <family val="2"/>
      </rPr>
      <t>-T</t>
    </r>
    <r>
      <rPr>
        <sz val="8"/>
        <color theme="1"/>
        <rFont val="Calibri"/>
        <family val="2"/>
      </rPr>
      <t>in,h</t>
    </r>
    <r>
      <rPr>
        <sz val="11"/>
        <color theme="1"/>
        <rFont val="Calibri"/>
        <family val="2"/>
      </rPr>
      <t>))</t>
    </r>
  </si>
  <si>
    <t>Se utiliza la viscosidad del fluido al término del macerado</t>
  </si>
  <si>
    <t>Se utiliza la conductividad térmica del agua</t>
  </si>
  <si>
    <t>Se cálcula la capacidad calorífica en función de la concentración de azucar presente</t>
  </si>
  <si>
    <t>Distancia entre palcas</t>
  </si>
  <si>
    <t>b</t>
  </si>
  <si>
    <t>[m^3/s]</t>
  </si>
  <si>
    <t>velocidad flujo de agua</t>
  </si>
  <si>
    <t>velocidad flujo de mosto</t>
  </si>
  <si>
    <t>vh</t>
  </si>
  <si>
    <t>vc</t>
  </si>
  <si>
    <t>[m/s]</t>
  </si>
  <si>
    <r>
      <t>vh=m</t>
    </r>
    <r>
      <rPr>
        <sz val="8"/>
        <color theme="1"/>
        <rFont val="Calibri"/>
        <family val="2"/>
        <scheme val="minor"/>
      </rPr>
      <t>h</t>
    </r>
    <r>
      <rPr>
        <sz val="11"/>
        <color theme="1"/>
        <rFont val="Calibri"/>
        <family val="2"/>
        <scheme val="minor"/>
      </rPr>
      <t>/w*b</t>
    </r>
  </si>
  <si>
    <r>
      <t>vc=m</t>
    </r>
    <r>
      <rPr>
        <sz val="8"/>
        <color theme="1"/>
        <rFont val="Calibri"/>
        <family val="2"/>
        <scheme val="minor"/>
      </rPr>
      <t>c</t>
    </r>
    <r>
      <rPr>
        <sz val="11"/>
        <color theme="1"/>
        <rFont val="Calibri"/>
        <family val="2"/>
        <scheme val="minor"/>
      </rPr>
      <t>/w*b</t>
    </r>
  </si>
  <si>
    <r>
      <t>Re=(v</t>
    </r>
    <r>
      <rPr>
        <sz val="8"/>
        <color theme="1"/>
        <rFont val="Calibri"/>
        <family val="2"/>
        <scheme val="minor"/>
      </rPr>
      <t>h</t>
    </r>
    <r>
      <rPr>
        <sz val="11"/>
        <color theme="1"/>
        <rFont val="Calibri"/>
        <family val="2"/>
        <scheme val="minor"/>
      </rPr>
      <t>*lc*</t>
    </r>
    <r>
      <rPr>
        <sz val="11"/>
        <color theme="1"/>
        <rFont val="Calibri"/>
        <family val="2"/>
      </rPr>
      <t>ρ</t>
    </r>
    <r>
      <rPr>
        <sz val="8"/>
        <color theme="1"/>
        <rFont val="Calibri"/>
        <family val="2"/>
      </rPr>
      <t>h</t>
    </r>
    <r>
      <rPr>
        <sz val="11"/>
        <color theme="1"/>
        <rFont val="Calibri"/>
        <family val="2"/>
      </rPr>
      <t>)/µ</t>
    </r>
    <r>
      <rPr>
        <sz val="8"/>
        <color theme="1"/>
        <rFont val="Calibri"/>
        <family val="2"/>
      </rPr>
      <t>h</t>
    </r>
  </si>
  <si>
    <r>
      <t>Re=(v</t>
    </r>
    <r>
      <rPr>
        <sz val="8"/>
        <color theme="1"/>
        <rFont val="Calibri"/>
        <family val="2"/>
        <scheme val="minor"/>
      </rPr>
      <t>c</t>
    </r>
    <r>
      <rPr>
        <sz val="11"/>
        <color theme="1"/>
        <rFont val="Calibri"/>
        <family val="2"/>
        <scheme val="minor"/>
      </rPr>
      <t>*lc*</t>
    </r>
    <r>
      <rPr>
        <sz val="11"/>
        <color theme="1"/>
        <rFont val="Calibri"/>
        <family val="2"/>
      </rPr>
      <t>ρ</t>
    </r>
    <r>
      <rPr>
        <sz val="8"/>
        <color theme="1"/>
        <rFont val="Calibri"/>
        <family val="2"/>
      </rPr>
      <t>c</t>
    </r>
    <r>
      <rPr>
        <sz val="11"/>
        <color theme="1"/>
        <rFont val="Calibri"/>
        <family val="2"/>
      </rPr>
      <t>)/µ</t>
    </r>
    <r>
      <rPr>
        <sz val="8"/>
        <color theme="1"/>
        <rFont val="Calibri"/>
        <family val="2"/>
      </rPr>
      <t>c</t>
    </r>
  </si>
  <si>
    <t>[j/kgºC]</t>
  </si>
  <si>
    <t>Área total del intercambiador</t>
  </si>
  <si>
    <t>A</t>
  </si>
  <si>
    <t>Número de platos</t>
  </si>
  <si>
    <t>N</t>
  </si>
  <si>
    <t>Flujos</t>
  </si>
  <si>
    <r>
      <t>F</t>
    </r>
    <r>
      <rPr>
        <sz val="8"/>
        <color theme="1"/>
        <rFont val="Calibri"/>
        <family val="2"/>
        <scheme val="minor"/>
      </rPr>
      <t>in,h</t>
    </r>
  </si>
  <si>
    <t>Flujo de entrada de agua</t>
  </si>
  <si>
    <t>Flujo de entrada de mosto</t>
  </si>
  <si>
    <t>Flujo de salida de agua</t>
  </si>
  <si>
    <t>Flujo de salida de mosto</t>
  </si>
  <si>
    <r>
      <t>F</t>
    </r>
    <r>
      <rPr>
        <sz val="8"/>
        <color theme="1"/>
        <rFont val="Calibri"/>
        <family val="2"/>
        <scheme val="minor"/>
      </rPr>
      <t>in,c</t>
    </r>
  </si>
  <si>
    <r>
      <t>F</t>
    </r>
    <r>
      <rPr>
        <sz val="8"/>
        <color theme="1"/>
        <rFont val="Calibri"/>
        <family val="2"/>
        <scheme val="minor"/>
      </rPr>
      <t>out,h</t>
    </r>
  </si>
  <si>
    <r>
      <t>F</t>
    </r>
    <r>
      <rPr>
        <sz val="8"/>
        <color theme="1"/>
        <rFont val="Calibri"/>
        <family val="2"/>
        <scheme val="minor"/>
      </rPr>
      <t>out,c</t>
    </r>
  </si>
  <si>
    <t>Flujo másico [kg/s]</t>
  </si>
  <si>
    <t>Flujo volumétrico [m^3/s]</t>
  </si>
  <si>
    <t>Temperatura [C]</t>
  </si>
  <si>
    <t>Viscosidad del filtrado</t>
  </si>
  <si>
    <t>Resistencia específica de la torta</t>
  </si>
  <si>
    <t>Resistencia del medio</t>
  </si>
  <si>
    <t>Área de placas</t>
  </si>
  <si>
    <t>Número de placas</t>
  </si>
  <si>
    <t>Área total de filtrado</t>
  </si>
  <si>
    <t>Caída de Presión filtro</t>
  </si>
  <si>
    <t>Tiempo de filtrado</t>
  </si>
  <si>
    <t>Volumen filtrado</t>
  </si>
  <si>
    <t>µ</t>
  </si>
  <si>
    <t>α</t>
  </si>
  <si>
    <r>
      <t>R</t>
    </r>
    <r>
      <rPr>
        <sz val="8"/>
        <color theme="1"/>
        <rFont val="Calibri"/>
        <family val="2"/>
        <scheme val="minor"/>
      </rPr>
      <t>m</t>
    </r>
  </si>
  <si>
    <t>ΔP</t>
  </si>
  <si>
    <t>t</t>
  </si>
  <si>
    <t>V</t>
  </si>
  <si>
    <t>[Pa]</t>
  </si>
  <si>
    <t>[s]</t>
  </si>
  <si>
    <t>[1/m]</t>
  </si>
  <si>
    <t>[m/kg]</t>
  </si>
  <si>
    <t>[m^3]</t>
  </si>
  <si>
    <t>Datos bibliográficos</t>
  </si>
  <si>
    <t>Conversión de células referidas al consumo de maltosa</t>
  </si>
  <si>
    <t>Conversión de células referidas al consumo de glucosa</t>
  </si>
  <si>
    <t>Constante de Michaelis inhibición por crecimiento</t>
  </si>
  <si>
    <r>
      <t>P</t>
    </r>
    <r>
      <rPr>
        <sz val="8"/>
        <color theme="1"/>
        <rFont val="Calibri"/>
        <family val="2"/>
        <scheme val="minor"/>
      </rPr>
      <t>g</t>
    </r>
  </si>
  <si>
    <r>
      <t>P</t>
    </r>
    <r>
      <rPr>
        <sz val="8"/>
        <color theme="1"/>
        <rFont val="Calibri"/>
        <family val="2"/>
        <scheme val="minor"/>
      </rPr>
      <t>m</t>
    </r>
  </si>
  <si>
    <r>
      <t>µ</t>
    </r>
    <r>
      <rPr>
        <sz val="8"/>
        <color theme="1"/>
        <rFont val="Calibri"/>
        <family val="2"/>
      </rPr>
      <t>g</t>
    </r>
  </si>
  <si>
    <r>
      <t>µ</t>
    </r>
    <r>
      <rPr>
        <sz val="8"/>
        <color theme="1"/>
        <rFont val="Calibri"/>
        <family val="2"/>
      </rPr>
      <t>m</t>
    </r>
  </si>
  <si>
    <r>
      <t>K</t>
    </r>
    <r>
      <rPr>
        <sz val="8"/>
        <color theme="1"/>
        <rFont val="Calibri"/>
        <family val="2"/>
      </rPr>
      <t>g</t>
    </r>
  </si>
  <si>
    <r>
      <t>K</t>
    </r>
    <r>
      <rPr>
        <sz val="8"/>
        <color theme="1"/>
        <rFont val="Calibri"/>
        <family val="2"/>
      </rPr>
      <t>m</t>
    </r>
  </si>
  <si>
    <r>
      <t>K'</t>
    </r>
    <r>
      <rPr>
        <sz val="8"/>
        <color theme="1"/>
        <rFont val="Calibri"/>
        <family val="2"/>
      </rPr>
      <t>g</t>
    </r>
  </si>
  <si>
    <r>
      <t>Y</t>
    </r>
    <r>
      <rPr>
        <sz val="8"/>
        <color theme="1"/>
        <rFont val="Calibri"/>
        <family val="2"/>
      </rPr>
      <t>x/g</t>
    </r>
  </si>
  <si>
    <r>
      <t>Y</t>
    </r>
    <r>
      <rPr>
        <sz val="8"/>
        <color theme="1"/>
        <rFont val="Calibri"/>
        <family val="2"/>
      </rPr>
      <t>x/m</t>
    </r>
  </si>
  <si>
    <r>
      <t>K</t>
    </r>
    <r>
      <rPr>
        <sz val="8"/>
        <color theme="1"/>
        <rFont val="Calibri"/>
        <family val="2"/>
      </rPr>
      <t>x</t>
    </r>
  </si>
  <si>
    <t>[g/mol]</t>
  </si>
  <si>
    <t>[1/h]</t>
  </si>
  <si>
    <t>[mol biomasa/mol glucosa]</t>
  </si>
  <si>
    <t>[mol biomasa/mol maltosa]</t>
  </si>
  <si>
    <t>Supuesto</t>
  </si>
  <si>
    <t>[1]</t>
  </si>
  <si>
    <t>[2]</t>
  </si>
  <si>
    <r>
      <t>Y</t>
    </r>
    <r>
      <rPr>
        <sz val="8"/>
        <color theme="1"/>
        <rFont val="Calibri"/>
        <family val="2"/>
      </rPr>
      <t>e/g</t>
    </r>
  </si>
  <si>
    <r>
      <t>Y</t>
    </r>
    <r>
      <rPr>
        <sz val="8"/>
        <color theme="1"/>
        <rFont val="Calibri"/>
        <family val="2"/>
      </rPr>
      <t>e/m</t>
    </r>
  </si>
  <si>
    <t>Conversión de etanol referido al consumo de glucosa</t>
  </si>
  <si>
    <t>Conversión de etanol referido al consumo de maltosa</t>
  </si>
  <si>
    <t>[mol etanol/mol glucosa]</t>
  </si>
  <si>
    <t>[mol etanol/mol maltosa]</t>
  </si>
  <si>
    <t>Concentración de maltosa</t>
  </si>
  <si>
    <t>[g/L]</t>
  </si>
  <si>
    <t>[3]</t>
  </si>
  <si>
    <t>Balance de células</t>
  </si>
  <si>
    <t>Parámetros</t>
  </si>
  <si>
    <t>G</t>
  </si>
  <si>
    <t>Concentración de Glucosa</t>
  </si>
  <si>
    <t>Concentración de biomasa</t>
  </si>
  <si>
    <t>M</t>
  </si>
  <si>
    <t>X</t>
  </si>
  <si>
    <r>
      <rPr>
        <b/>
        <sz val="11"/>
        <color theme="1"/>
        <rFont val="Calibri"/>
        <family val="2"/>
        <scheme val="minor"/>
      </rPr>
      <t>Símbolo</t>
    </r>
    <r>
      <rPr>
        <sz val="11"/>
        <color theme="1"/>
        <rFont val="Calibri"/>
        <family val="2"/>
        <scheme val="minor"/>
      </rPr>
      <t xml:space="preserve"> </t>
    </r>
  </si>
  <si>
    <t>Balance de nutrientes (glucosa)</t>
  </si>
  <si>
    <t>Balance de nutrientes (maltosa)</t>
  </si>
  <si>
    <t xml:space="preserve">Parámetros obtenidos mediate el modelo </t>
  </si>
  <si>
    <t>Tiempo de fermentación</t>
  </si>
  <si>
    <t>[h]</t>
  </si>
  <si>
    <r>
      <t>µ</t>
    </r>
    <r>
      <rPr>
        <sz val="8"/>
        <color theme="1"/>
        <rFont val="Calibri"/>
        <family val="2"/>
      </rPr>
      <t>n</t>
    </r>
  </si>
  <si>
    <r>
      <t>K</t>
    </r>
    <r>
      <rPr>
        <sz val="8"/>
        <color theme="1"/>
        <rFont val="Calibri"/>
        <family val="2"/>
      </rPr>
      <t>n</t>
    </r>
  </si>
  <si>
    <r>
      <t>K'</t>
    </r>
    <r>
      <rPr>
        <sz val="8"/>
        <color theme="1"/>
        <rFont val="Calibri"/>
        <family val="2"/>
      </rPr>
      <t>m</t>
    </r>
  </si>
  <si>
    <r>
      <t>Y</t>
    </r>
    <r>
      <rPr>
        <sz val="8"/>
        <color theme="1"/>
        <rFont val="Calibri"/>
        <family val="2"/>
      </rPr>
      <t>e/n</t>
    </r>
  </si>
  <si>
    <r>
      <t>P</t>
    </r>
    <r>
      <rPr>
        <sz val="8"/>
        <color theme="1"/>
        <rFont val="Calibri"/>
        <family val="2"/>
        <scheme val="minor"/>
      </rPr>
      <t>N</t>
    </r>
  </si>
  <si>
    <t>Conversión de etanol referido al consumo de maltotriosa</t>
  </si>
  <si>
    <t>[mol etanol/mol maltotriosa]</t>
  </si>
  <si>
    <t>Concentración de maltotriosa</t>
  </si>
  <si>
    <t>[g/L]^2</t>
  </si>
  <si>
    <t>Ecuaciones diferenciales balance de masa [2]</t>
  </si>
  <si>
    <t>[L]</t>
  </si>
  <si>
    <t>Biomasa</t>
  </si>
  <si>
    <t>Error %</t>
  </si>
  <si>
    <t>[kg/s]</t>
  </si>
  <si>
    <t>Masa de mosto</t>
  </si>
  <si>
    <t>Unidad</t>
  </si>
  <si>
    <t>-</t>
  </si>
  <si>
    <t>[kg]</t>
  </si>
  <si>
    <t>[kg/L]</t>
  </si>
  <si>
    <t>Datos</t>
  </si>
  <si>
    <t>[L/s]</t>
  </si>
  <si>
    <r>
      <t>Concentración de sólidos inertes (C</t>
    </r>
    <r>
      <rPr>
        <sz val="8"/>
        <color theme="1"/>
        <rFont val="Calibri"/>
        <family val="2"/>
        <scheme val="minor"/>
      </rPr>
      <t>s</t>
    </r>
    <r>
      <rPr>
        <sz val="11"/>
        <color theme="1"/>
        <rFont val="Calibri"/>
        <family val="2"/>
        <scheme val="minor"/>
      </rPr>
      <t>) [g/L]</t>
    </r>
  </si>
  <si>
    <t>Eficiencia remoción sólidos</t>
  </si>
  <si>
    <t>e</t>
  </si>
  <si>
    <t>Supuestos balance de masa</t>
  </si>
  <si>
    <t>La torta posee un 15 % de humedad</t>
  </si>
  <si>
    <t>Flujos balance de masa</t>
  </si>
  <si>
    <t>Balance de masa mosto</t>
  </si>
  <si>
    <t>Salida</t>
  </si>
  <si>
    <t>Entrada</t>
  </si>
  <si>
    <t>Error%</t>
  </si>
  <si>
    <t>Acumulación+Salida-Entrada=0</t>
  </si>
  <si>
    <t>Balande de azúcar</t>
  </si>
  <si>
    <t>Balance de sólidos inertes</t>
  </si>
  <si>
    <t>Volumen inicial de la cocción proveniente del fluido filtrado</t>
  </si>
  <si>
    <t>[--]</t>
  </si>
  <si>
    <t>Volumen final del Mosto</t>
  </si>
  <si>
    <t>Flujo de mosto evaporado</t>
  </si>
  <si>
    <t>Masa de lúpulo añadida</t>
  </si>
  <si>
    <t>Volumen inicial de del Mosto</t>
  </si>
  <si>
    <t>Balances de masa Mosto</t>
  </si>
  <si>
    <r>
      <t>M</t>
    </r>
    <r>
      <rPr>
        <sz val="8"/>
        <color theme="1"/>
        <rFont val="Calibri"/>
        <family val="2"/>
        <scheme val="minor"/>
      </rPr>
      <t>in</t>
    </r>
    <r>
      <rPr>
        <sz val="11"/>
        <color theme="1"/>
        <rFont val="Calibri"/>
        <family val="2"/>
        <scheme val="minor"/>
      </rPr>
      <t>-M</t>
    </r>
    <r>
      <rPr>
        <sz val="8"/>
        <color theme="1"/>
        <rFont val="Calibri"/>
        <family val="2"/>
        <scheme val="minor"/>
      </rPr>
      <t>out-</t>
    </r>
    <r>
      <rPr>
        <sz val="11"/>
        <color theme="1"/>
        <rFont val="Calibri"/>
        <family val="2"/>
        <scheme val="minor"/>
      </rPr>
      <t>F</t>
    </r>
    <r>
      <rPr>
        <sz val="8"/>
        <color theme="1"/>
        <rFont val="Calibri"/>
        <family val="2"/>
        <scheme val="minor"/>
      </rPr>
      <t>evaporación</t>
    </r>
    <r>
      <rPr>
        <sz val="11"/>
        <color theme="1"/>
        <rFont val="Calibri"/>
        <family val="2"/>
        <scheme val="minor"/>
      </rPr>
      <t>=0</t>
    </r>
  </si>
  <si>
    <t>Cerveza Ambar Ale</t>
  </si>
  <si>
    <t>Área de filtrado</t>
  </si>
  <si>
    <r>
      <t>Concentración de azucares fermentables(C</t>
    </r>
    <r>
      <rPr>
        <b/>
        <sz val="8"/>
        <color theme="1"/>
        <rFont val="Calibri"/>
        <family val="2"/>
        <scheme val="minor"/>
      </rPr>
      <t>A</t>
    </r>
    <r>
      <rPr>
        <b/>
        <sz val="11"/>
        <color theme="1"/>
        <rFont val="Calibri"/>
        <family val="2"/>
        <scheme val="minor"/>
      </rPr>
      <t>) [g/L]</t>
    </r>
  </si>
  <si>
    <r>
      <t>Concentración de sólidos inertes (C</t>
    </r>
    <r>
      <rPr>
        <b/>
        <sz val="8"/>
        <color theme="1"/>
        <rFont val="Calibri"/>
        <family val="2"/>
        <scheme val="minor"/>
      </rPr>
      <t>s</t>
    </r>
    <r>
      <rPr>
        <b/>
        <sz val="11"/>
        <color theme="1"/>
        <rFont val="Calibri"/>
        <family val="2"/>
        <scheme val="minor"/>
      </rPr>
      <t>) [g/L]</t>
    </r>
  </si>
  <si>
    <t>Concentración de Lúpulo[g/L]</t>
  </si>
  <si>
    <t>[kg/mol]</t>
  </si>
  <si>
    <t>H2O</t>
  </si>
  <si>
    <t>CO2</t>
  </si>
  <si>
    <t>O2</t>
  </si>
  <si>
    <t xml:space="preserve">CH1,44O0,66 </t>
  </si>
  <si>
    <t>N2</t>
  </si>
  <si>
    <t>Pesos Moleculares</t>
  </si>
  <si>
    <t>Composición aire  |21% O2|  |79% N2|</t>
  </si>
  <si>
    <t>Combustión completa</t>
  </si>
  <si>
    <t>Suponiendo</t>
  </si>
  <si>
    <t>Flujo másico</t>
  </si>
  <si>
    <t>[m3/s]</t>
  </si>
  <si>
    <t>Flujo volumétrico</t>
  </si>
  <si>
    <t>velocidad promedio</t>
  </si>
  <si>
    <t>Flujo de aire</t>
  </si>
  <si>
    <t>m biomasa = mv*cpv* (((mh*cph*(Tf-Ti)/mvcpv)/(dt)-140)*eficiencia)-140/eficiencia)/PCIorujo</t>
  </si>
  <si>
    <t>Fórmula de la combustión de Biomasa = CH1.44O0.66 + 1.03 O2 = 0.72 H2O + CO2 (+Heat)</t>
  </si>
  <si>
    <t>Total</t>
  </si>
  <si>
    <t>Volumen Mosto</t>
  </si>
  <si>
    <t>Kilos de Biomasa [kg]</t>
  </si>
  <si>
    <t>Tiempo [s]</t>
  </si>
  <si>
    <t>Flujo de Biomasa [kg/s]</t>
  </si>
  <si>
    <t>Periodo</t>
  </si>
  <si>
    <t>Nuh</t>
  </si>
  <si>
    <t>Nussel del mosto</t>
  </si>
  <si>
    <t>Prundt del mosto</t>
  </si>
  <si>
    <t>Nuv,mac</t>
  </si>
  <si>
    <t>Nussel del vapor (macerador)</t>
  </si>
  <si>
    <t>Prv,mac</t>
  </si>
  <si>
    <t>Prundt del vapor (macerador)</t>
  </si>
  <si>
    <t>Rev,mac</t>
  </si>
  <si>
    <t>Reynolds vapor (macerador)</t>
  </si>
  <si>
    <t>Turbulento dentro de tuberías se utiliza la correlación  de Dittus-Boelter</t>
  </si>
  <si>
    <t>Nussel = 0,023*Re^0,8 *Pr^a  |a= 0,3 porque es enfriamiento |</t>
  </si>
  <si>
    <t>Nuai,cal</t>
  </si>
  <si>
    <t>Nussel del aire (caldera)</t>
  </si>
  <si>
    <t>Prai,cal</t>
  </si>
  <si>
    <t>Prundt del aire (caldera)</t>
  </si>
  <si>
    <t>Reai,cal</t>
  </si>
  <si>
    <t>Reynolds del aire (caldera)</t>
  </si>
  <si>
    <t>Flujo laminar sobre placa horizontal, correlación de Pohlhausen</t>
  </si>
  <si>
    <t>Nuv,cal</t>
  </si>
  <si>
    <t>Nussel del vapor (caldera)</t>
  </si>
  <si>
    <t>Prv,cal</t>
  </si>
  <si>
    <t>Prundt del Vapor (caldera)</t>
  </si>
  <si>
    <t>Rev,cal</t>
  </si>
  <si>
    <t>Reynolds del Vapor (caldera)</t>
  </si>
  <si>
    <t>Lcal = Atra,cal/(2*pi*rcal)</t>
  </si>
  <si>
    <t>Lcal</t>
  </si>
  <si>
    <t>Largo Caldera</t>
  </si>
  <si>
    <t>Atra,cal = Qcal/(Ucal*ΔTl)</t>
  </si>
  <si>
    <t>[m2]</t>
  </si>
  <si>
    <t>Atra,cal</t>
  </si>
  <si>
    <t>Area de transferencia</t>
  </si>
  <si>
    <t xml:space="preserve">se desprecia el calor por conductividad ya que el material es super conductor </t>
  </si>
  <si>
    <t>Ucal =((1/hai)+(1/hv))^-1</t>
  </si>
  <si>
    <t>[W/m2 K]</t>
  </si>
  <si>
    <t>Ucal</t>
  </si>
  <si>
    <r>
      <t>ΔTl=[(Tll,cal-Tv,in,cal,1)-(T</t>
    </r>
    <r>
      <rPr>
        <sz val="8"/>
        <color theme="1"/>
        <rFont val="Calibri"/>
        <family val="2"/>
      </rPr>
      <t>ll,cal</t>
    </r>
    <r>
      <rPr>
        <sz val="11"/>
        <color theme="1"/>
        <rFont val="Calibri"/>
        <family val="2"/>
      </rPr>
      <t>-Tv,out,cal)]/ln((Tll,cal-Tv,in,cal,1)/(Tll,cal-Tv,out,cal))</t>
    </r>
  </si>
  <si>
    <t>[°C]</t>
  </si>
  <si>
    <t>Delta temperatura logarítmico</t>
  </si>
  <si>
    <t>hai,cal = Nus * kai /Lccal</t>
  </si>
  <si>
    <t>[W/m2°C]</t>
  </si>
  <si>
    <t>hai,cal</t>
  </si>
  <si>
    <t>coeficiente transferencia convectiva del aire</t>
  </si>
  <si>
    <t>hvap,cal = Nus * kvap /Lccal</t>
  </si>
  <si>
    <t>hvap,cal</t>
  </si>
  <si>
    <t>coeficiente transferencia convectiva del vapor</t>
  </si>
  <si>
    <t>Vm = Vmedia gases</t>
  </si>
  <si>
    <t>Vm,ai,cal</t>
  </si>
  <si>
    <t>Velocidad promedio aire en la caldera</t>
  </si>
  <si>
    <t>Vm = Fvol,v/At,cal</t>
  </si>
  <si>
    <t>Vm,v,cal</t>
  </si>
  <si>
    <t>Velocidad promedio vapor en la caldera</t>
  </si>
  <si>
    <t>2*rcal</t>
  </si>
  <si>
    <t>Lccal</t>
  </si>
  <si>
    <t>Largo carácterístico</t>
  </si>
  <si>
    <t>rcal =(At,cal/pi)^1/2</t>
  </si>
  <si>
    <t>rcal</t>
  </si>
  <si>
    <t>Radio de la caldera</t>
  </si>
  <si>
    <t>http://www.sitong-boiler.com/product/biomass-fuel-boiler/lsh-series-vertical-biomass-steam-boiler.html</t>
  </si>
  <si>
    <t>se selecciona por catálogo</t>
  </si>
  <si>
    <t>At,cal</t>
  </si>
  <si>
    <t>Área transversal de la caldera</t>
  </si>
  <si>
    <t>coincide con el mismo periodo del macerador</t>
  </si>
  <si>
    <t>Qcal = max(Qcal,1;Qcal,2;Qcal,3)</t>
  </si>
  <si>
    <t>[kW]</t>
  </si>
  <si>
    <t>Qcal</t>
  </si>
  <si>
    <t>Calor utilizado para dimensionar</t>
  </si>
  <si>
    <t>Q= Fv*Cpv*dT</t>
  </si>
  <si>
    <t>Qcal,3</t>
  </si>
  <si>
    <t>Calor necesario para calentar el vapor cocción</t>
  </si>
  <si>
    <t>Qcal,2</t>
  </si>
  <si>
    <t>Calor necesario para calentar el vapor periodo 2</t>
  </si>
  <si>
    <t>Qcal,1</t>
  </si>
  <si>
    <t>Calor necesario para calentar el vapor periodo 1</t>
  </si>
  <si>
    <t>de esta manera entrará a 140</t>
  </si>
  <si>
    <t>Tv,out,cal = Tv,in,mac/ᵟ</t>
  </si>
  <si>
    <t>Tv,out,cal</t>
  </si>
  <si>
    <t>Temperatrua del vapor entrando a la caldera periodo4</t>
  </si>
  <si>
    <t>Tv,in,cal = Tv,out,mac * ᵟ</t>
  </si>
  <si>
    <t>Tv,in,cal,3</t>
  </si>
  <si>
    <t>Temperatura del vapor entrando a la caldera en cocción</t>
  </si>
  <si>
    <t>Tv,in,cal,2</t>
  </si>
  <si>
    <t>Temperatrua del vapor entrando a la caldera periodo2</t>
  </si>
  <si>
    <t>si bien el camino es adiabático existen perdidas de calor</t>
  </si>
  <si>
    <t>Tv,in,cal,1</t>
  </si>
  <si>
    <t>Temperatrua del vapor entrando a la caldera periodo1</t>
  </si>
  <si>
    <t>Fbio = Q/PCI</t>
  </si>
  <si>
    <t>Fbio</t>
  </si>
  <si>
    <t>Flujo de biomasa</t>
  </si>
  <si>
    <t xml:space="preserve"> Fvol,v = Fv/ρv</t>
  </si>
  <si>
    <t>Fvol,v</t>
  </si>
  <si>
    <t>Flujo volumétrico del vapor</t>
  </si>
  <si>
    <t>Parámetros calculados caldera</t>
  </si>
  <si>
    <t>Atra,mac</t>
  </si>
  <si>
    <t xml:space="preserve">Área de intercambiador </t>
  </si>
  <si>
    <t>ΔTl=[(Tv,in,cal-Ti,mac,1)-(Tv,out,mac-Tf,mac,1)]/ln((Tv,in,cal-Ti,mac,1)/(Tv,out,mac-Tf,mac,1))</t>
  </si>
  <si>
    <t>ΔTl,mac</t>
  </si>
  <si>
    <t>Valor de U esperado</t>
  </si>
  <si>
    <t>Umac/cocc</t>
  </si>
  <si>
    <t>max(Qmac1,Qmac2,Qcocc)</t>
  </si>
  <si>
    <t>Qmac</t>
  </si>
  <si>
    <t>Tv,out = Tv,in - (Q/(Mv*Cpv))</t>
  </si>
  <si>
    <t>Tv,out,cocc</t>
  </si>
  <si>
    <t>Temperatura del vapor dedespues de la cocción</t>
  </si>
  <si>
    <t>Tv,out,mac2</t>
  </si>
  <si>
    <t>Temperatura del vapor de salida2</t>
  </si>
  <si>
    <t>Tv,out,mac1</t>
  </si>
  <si>
    <t>Temperatura del vapor de salida1</t>
  </si>
  <si>
    <t>Q = Mh*Cph*dT/dt</t>
  </si>
  <si>
    <t>Qcocc</t>
  </si>
  <si>
    <t>Calor necesario para la cocción</t>
  </si>
  <si>
    <t>Qmac,2</t>
  </si>
  <si>
    <t>Calor necesario para el periodo 2</t>
  </si>
  <si>
    <t>Qmac,1</t>
  </si>
  <si>
    <t>Calor necesario para el periodo 1</t>
  </si>
  <si>
    <t>[biblia español]</t>
  </si>
  <si>
    <t>Se mantiene esta temperatura de entrada</t>
  </si>
  <si>
    <t>Tv,in,mac</t>
  </si>
  <si>
    <t>Temperatura del vapor de entrada1</t>
  </si>
  <si>
    <t>se calcula con la relación descrita en [2]</t>
  </si>
  <si>
    <t>Fv = Mh*100/(1000*60)</t>
  </si>
  <si>
    <t>Fv</t>
  </si>
  <si>
    <t>Flujo de vapor</t>
  </si>
  <si>
    <t>Mh</t>
  </si>
  <si>
    <t>Parámetros calculados IC macerador/cocción</t>
  </si>
  <si>
    <t>Se comporta como gas ideal</t>
  </si>
  <si>
    <t>(3*R*Tll,cal/Pmair)^1/2</t>
  </si>
  <si>
    <t>Vm gases</t>
  </si>
  <si>
    <t>Velocidad del aire</t>
  </si>
  <si>
    <t>Polák, M., &amp; Neuberger, P. (2008). The optimisation of biomass combustion in small boilers. Infrastruktura i Ekologia Terenów Wiejskich, (06). Pág, 7</t>
  </si>
  <si>
    <t>Tll,cal</t>
  </si>
  <si>
    <t>Temperatura de llama de la caldera</t>
  </si>
  <si>
    <t>Se calcula más adelante</t>
  </si>
  <si>
    <t>Temperatura de salida del vapor de la caldera</t>
  </si>
  <si>
    <t>Tv,in,cal</t>
  </si>
  <si>
    <t>Temperatura de entrada del vapor a la caldera</t>
  </si>
  <si>
    <t>Existen perdidas de calor en las tuberías</t>
  </si>
  <si>
    <t>ᵟ</t>
  </si>
  <si>
    <t>Eficiencia camino adiabático</t>
  </si>
  <si>
    <t>Temperatura de salida del vapor del macerador</t>
  </si>
  <si>
    <t>Temperatura de entrada del vapor al macerador</t>
  </si>
  <si>
    <t>RPS</t>
  </si>
  <si>
    <t>RPSag</t>
  </si>
  <si>
    <t>RPS agitador macerador</t>
  </si>
  <si>
    <t>[kJ/kg]</t>
  </si>
  <si>
    <t>PCIoru</t>
  </si>
  <si>
    <t>Poder Calorífico Inferior Orujo</t>
  </si>
  <si>
    <t>[kg/m3]</t>
  </si>
  <si>
    <t>ρoru</t>
  </si>
  <si>
    <t>Densidad Orujo</t>
  </si>
  <si>
    <t>[J/mol k]</t>
  </si>
  <si>
    <t>R</t>
  </si>
  <si>
    <t>Constante de los gases</t>
  </si>
  <si>
    <t>[kg / mol]</t>
  </si>
  <si>
    <t>Pmair</t>
  </si>
  <si>
    <t>Peso Molecular aire</t>
  </si>
  <si>
    <t>[kJ/kgK]</t>
  </si>
  <si>
    <t>Cpai</t>
  </si>
  <si>
    <t>Capacidad calorífica del aire</t>
  </si>
  <si>
    <t>[W/m°C]</t>
  </si>
  <si>
    <t>kai</t>
  </si>
  <si>
    <t>Conductividad térmica del aire</t>
  </si>
  <si>
    <t>[kg/m s]</t>
  </si>
  <si>
    <t>µai</t>
  </si>
  <si>
    <t>Viscosidad del aire</t>
  </si>
  <si>
    <t>ρai</t>
  </si>
  <si>
    <t>Densidad del aire</t>
  </si>
  <si>
    <t>[kJ/(kgK)]</t>
  </si>
  <si>
    <t>Cpv</t>
  </si>
  <si>
    <t>Capacidad calorífica del vapor</t>
  </si>
  <si>
    <t>kv</t>
  </si>
  <si>
    <t>Conductividad termica del vapor</t>
  </si>
  <si>
    <t>µv</t>
  </si>
  <si>
    <t>Viscosidad del vapor</t>
  </si>
  <si>
    <t>ρv</t>
  </si>
  <si>
    <t>Densidad del vapor</t>
  </si>
  <si>
    <t>Tiempo de calentamiento[s]</t>
  </si>
  <si>
    <t>Temperatura final mosto[°C]</t>
  </si>
  <si>
    <t>Temperatura inicial mosto [°C]</t>
  </si>
  <si>
    <t>Periodo de calentamiento</t>
  </si>
  <si>
    <t>Caldera</t>
  </si>
  <si>
    <t>Balance de nutrientes (Maltotriosa)</t>
  </si>
  <si>
    <t>Parámetros iniciales</t>
  </si>
  <si>
    <t>Se considera una fermentación completa (alta en dextrosa %94 de la concentración de azúcar fermentable</t>
  </si>
  <si>
    <t>Se considera una fermentación completa (baja en maltosa 3,5%) de la concentración de azúcar fermentable.</t>
  </si>
  <si>
    <t>Se considera una fermentación completa (ausencia de maltriosa 0%) de la concentración de azúcar fermentable.</t>
  </si>
  <si>
    <t>Concentración de azúcares fermentables</t>
  </si>
  <si>
    <t>Balance de Masa</t>
  </si>
  <si>
    <t>Sustratos consumidos</t>
  </si>
  <si>
    <t>Glucosa</t>
  </si>
  <si>
    <t>Maltosa</t>
  </si>
  <si>
    <t>Maltotriosa</t>
  </si>
  <si>
    <t>Amonio</t>
  </si>
  <si>
    <t>Bicarbonato</t>
  </si>
  <si>
    <t>Masa [g]</t>
  </si>
  <si>
    <t>Masa [mol]</t>
  </si>
  <si>
    <t>Productos Generados</t>
  </si>
  <si>
    <t>Etanol</t>
  </si>
  <si>
    <t>Agua</t>
  </si>
  <si>
    <t>Moles de glucosa Total</t>
  </si>
  <si>
    <t>Peso molecular CO2</t>
  </si>
  <si>
    <t>Peso molecular Biomasa</t>
  </si>
  <si>
    <t>Peso molecular Amonio</t>
  </si>
  <si>
    <t>Generación-Consumo=0</t>
  </si>
  <si>
    <t>Grados de Alcohol</t>
  </si>
  <si>
    <t>C1*V1-C2*V2=0</t>
  </si>
  <si>
    <t>Cálculo</t>
  </si>
  <si>
    <t>Balance de masa Azúcares fermentables</t>
  </si>
  <si>
    <t>Balance de masa sólidos inertes</t>
  </si>
  <si>
    <t>Concentración final sólidos residuales (lúpulo+Sólidos inertes) (g/L)</t>
  </si>
  <si>
    <t>Densidad mosto Stout</t>
  </si>
  <si>
    <t>Densidad mosto Ambar</t>
  </si>
  <si>
    <t>Densidad del mosto Golden</t>
  </si>
  <si>
    <r>
      <t>ρ</t>
    </r>
    <r>
      <rPr>
        <sz val="8"/>
        <color theme="1"/>
        <rFont val="Calibri"/>
        <family val="2"/>
        <scheme val="minor"/>
      </rPr>
      <t>h,g</t>
    </r>
  </si>
  <si>
    <r>
      <t>ρ</t>
    </r>
    <r>
      <rPr>
        <sz val="8"/>
        <color theme="1"/>
        <rFont val="Calibri"/>
        <family val="2"/>
        <scheme val="minor"/>
      </rPr>
      <t>h,s</t>
    </r>
  </si>
  <si>
    <r>
      <t>ρ</t>
    </r>
    <r>
      <rPr>
        <sz val="8"/>
        <color theme="1"/>
        <rFont val="Calibri"/>
        <family val="2"/>
        <scheme val="minor"/>
      </rPr>
      <t>h,a</t>
    </r>
  </si>
  <si>
    <t>Coeficientes</t>
  </si>
  <si>
    <t>c1</t>
  </si>
  <si>
    <t>c2</t>
  </si>
  <si>
    <t>c3</t>
  </si>
  <si>
    <t>c4</t>
  </si>
  <si>
    <t>c5</t>
  </si>
  <si>
    <t>c6</t>
  </si>
  <si>
    <t>c7</t>
  </si>
  <si>
    <t>c8</t>
  </si>
  <si>
    <t>Balance de Masa Cerveza Stout</t>
  </si>
  <si>
    <t>Equipos</t>
  </si>
  <si>
    <t>Reactor Batch 1</t>
  </si>
  <si>
    <t>Filtro Prensa</t>
  </si>
  <si>
    <t>Cocción</t>
  </si>
  <si>
    <t>Intercambiador de calor</t>
  </si>
  <si>
    <t>Fermentador</t>
  </si>
  <si>
    <t>Secado</t>
  </si>
  <si>
    <t>Whirpool</t>
  </si>
  <si>
    <t>Maduración</t>
  </si>
  <si>
    <t>Levadura húmeda(kg)</t>
  </si>
  <si>
    <t>Azúcares no fermentables</t>
  </si>
  <si>
    <t>Densidad mosto Ambar Ale</t>
  </si>
  <si>
    <t>Densidad del mosto Golden Ale</t>
  </si>
  <si>
    <t>Densidad cerveza Imperial Stout</t>
  </si>
  <si>
    <t>Golden</t>
  </si>
  <si>
    <t>Ambar</t>
  </si>
  <si>
    <t>Stout</t>
  </si>
  <si>
    <t>Aire</t>
  </si>
  <si>
    <t>Error</t>
  </si>
  <si>
    <t>Balance de masa por cerveza [kg]</t>
  </si>
  <si>
    <r>
      <t xml:space="preserve">McCabe, W. L., Smith, J. C., &amp; Harriott, P. (1993). </t>
    </r>
    <r>
      <rPr>
        <i/>
        <sz val="11"/>
        <color theme="1"/>
        <rFont val="Calibri"/>
        <family val="2"/>
        <scheme val="minor"/>
      </rPr>
      <t>Unit operations of chemical engineering</t>
    </r>
    <r>
      <rPr>
        <sz val="11"/>
        <color theme="1"/>
        <rFont val="Calibri"/>
        <family val="2"/>
        <scheme val="minor"/>
      </rPr>
      <t xml:space="preserve"> (Vol. 1130). New York: McGraw-hill.</t>
    </r>
  </si>
  <si>
    <t>Páramo, L., Picado, A., Bojorge, R., &amp; Martínez, J. (2002). DISEÑO DE UN SISTEMA SEPARADOR SECADOR PARA LA RECUPERACIÓN DE CERVEZA RESIDUAL Y SECADO DE LA LEVADURA CON FINES A SU UTILIZACIÓN COMO ALIMENTO ANIMAL.</t>
  </si>
  <si>
    <t>Levadura de Golden</t>
  </si>
  <si>
    <t>agua</t>
  </si>
  <si>
    <t>Levadura seca (6%)</t>
  </si>
  <si>
    <t>Levadura húmeda (71%)</t>
  </si>
  <si>
    <t>Levadura de Ambar</t>
  </si>
  <si>
    <t>Cerveza</t>
  </si>
  <si>
    <t>Levadura de Stout</t>
  </si>
  <si>
    <t>Balance de masa</t>
  </si>
  <si>
    <t>Flujos másicos</t>
  </si>
  <si>
    <t>Largo del secador</t>
  </si>
  <si>
    <t>dt2</t>
  </si>
  <si>
    <t>dt1</t>
  </si>
  <si>
    <t>Diámetro del secador</t>
  </si>
  <si>
    <t>diferencias de temperatura para facilitar el cálculo de diferencia logarítmica</t>
  </si>
  <si>
    <t>[ft]</t>
  </si>
  <si>
    <t>Dimensiones Finales</t>
  </si>
  <si>
    <t>L = qt/0,125*pi*D*deltaTlm*G^0,67</t>
  </si>
  <si>
    <t>L,seca</t>
  </si>
  <si>
    <t>DeltaTlm = [(Tai,in-Twb)-(Tai,out-Twb)]/ln( (Tai,in-Twb)/(Tai,out-Twb))</t>
  </si>
  <si>
    <t>[[°F]</t>
  </si>
  <si>
    <t>DeltaTlm</t>
  </si>
  <si>
    <t>Diferencia de temperatura logarítmica</t>
  </si>
  <si>
    <t>valor necesario para poder utilizar la ecuaciópn empírica dimensional del equipo</t>
  </si>
  <si>
    <t>G = mg/Atrans</t>
  </si>
  <si>
    <t>[lb/ft2 h]</t>
  </si>
  <si>
    <t>Velocidad másica</t>
  </si>
  <si>
    <t>Atrans = pi * (D^2)/4</t>
  </si>
  <si>
    <t>[ft2]</t>
  </si>
  <si>
    <t>Atrans,seca</t>
  </si>
  <si>
    <t xml:space="preserve">Área transversal </t>
  </si>
  <si>
    <t>se determina por catálogo</t>
  </si>
  <si>
    <t>D</t>
  </si>
  <si>
    <t>Hai,out = Hai,in + mv/mg</t>
  </si>
  <si>
    <t>[lb/lb]</t>
  </si>
  <si>
    <t>Hai,out</t>
  </si>
  <si>
    <t>Humedad final del aire</t>
  </si>
  <si>
    <t>despejando de la ecuación anterior</t>
  </si>
  <si>
    <t>mg=(1+Hai,in)* qt/[csb*(Tai,in - Twb)]</t>
  </si>
  <si>
    <t>[lb/h]</t>
  </si>
  <si>
    <t>mg</t>
  </si>
  <si>
    <t>Velocidad de flujo de aire</t>
  </si>
  <si>
    <t>mg(1 + Hai,in) = qt/[csb*(Tai,in - Twb)]</t>
  </si>
  <si>
    <t>mg(1+hb)</t>
  </si>
  <si>
    <t>Balance de calor y calro específico de aire humedo</t>
  </si>
  <si>
    <t>[Btu/lb°F]</t>
  </si>
  <si>
    <t>csb</t>
  </si>
  <si>
    <t xml:space="preserve">Calor específico de aire húmedo </t>
  </si>
  <si>
    <t>qt=( qt/mlev)*mlev</t>
  </si>
  <si>
    <t>[Btu/h]</t>
  </si>
  <si>
    <t>qt</t>
  </si>
  <si>
    <t>Calor transferido</t>
  </si>
  <si>
    <t>Viene de la ecuación de B.E. || Twb = Tvaporización || Tlev,out = Tai,out ||</t>
  </si>
  <si>
    <t>qt/ms = Cplev(Tlev,out-Tlev,in) + XinCpl(Twb-Tlev,in) + λ (Xin-Xout) +XoutCpl(Tlev,out-Twb) + (Xin-Xout)Cpair(Tai,out - Twb)</t>
  </si>
  <si>
    <t>[Btu/lb]</t>
  </si>
  <si>
    <t>qt/mlev</t>
  </si>
  <si>
    <t xml:space="preserve">Necesidades de calor </t>
  </si>
  <si>
    <t>mv = mlev*(Xin-Xout)</t>
  </si>
  <si>
    <t>[lb/h[</t>
  </si>
  <si>
    <t>mv</t>
  </si>
  <si>
    <t>velocidad de transferencia de masa</t>
  </si>
  <si>
    <t>Dimensionamiento del secador</t>
  </si>
  <si>
    <t>mlev = Mlev/top</t>
  </si>
  <si>
    <t>mlev</t>
  </si>
  <si>
    <t>Flujo de levadura</t>
  </si>
  <si>
    <t>tiempo que funcionará el secador de manera de secar toda la levadura, se calculan 8 horas por 20 días</t>
  </si>
  <si>
    <t>top</t>
  </si>
  <si>
    <t>tiempo de operación</t>
  </si>
  <si>
    <t>Ta = ((Tai,in-Twb)/exp(Nt))+ Twb</t>
  </si>
  <si>
    <t>[°F]</t>
  </si>
  <si>
    <t>Tai,out</t>
  </si>
  <si>
    <t>Temperatura aire salida</t>
  </si>
  <si>
    <t xml:space="preserve"> λ </t>
  </si>
  <si>
    <t>calor latente</t>
  </si>
  <si>
    <t>cálculo explicado en la siguiente sección</t>
  </si>
  <si>
    <t>Tai,in</t>
  </si>
  <si>
    <t>Temperatura aire entrada</t>
  </si>
  <si>
    <t>Humedad ambiente</t>
  </si>
  <si>
    <t>Humedad aire final</t>
  </si>
  <si>
    <t>Temperatura de entrada de la levadura es la temperatura ambiente</t>
  </si>
  <si>
    <t>Hai,in</t>
  </si>
  <si>
    <t>Humedad del aire inicial</t>
  </si>
  <si>
    <t>La temperatura de bulbo seco es la misma que la temperatura de vaporización</t>
  </si>
  <si>
    <t>Tlev,in</t>
  </si>
  <si>
    <t>Temperatura entrada del solido [Tsa]</t>
  </si>
  <si>
    <t>Se utilizó la carta sicométrico para encontrar este valor</t>
  </si>
  <si>
    <t>Twb</t>
  </si>
  <si>
    <t>Temperatura bulbo seco [Twb]</t>
  </si>
  <si>
    <t>Según catalogo y uso de este tipo de secador, el valor de Nt se encuentra en [1,5 ; 2,5]</t>
  </si>
  <si>
    <t>Nt</t>
  </si>
  <si>
    <t>Unidades de transferencia</t>
  </si>
  <si>
    <t>[lb]</t>
  </si>
  <si>
    <t>Mlev</t>
  </si>
  <si>
    <t>Masa de levadura</t>
  </si>
  <si>
    <t>Xout</t>
  </si>
  <si>
    <t>Humedad final sólido</t>
  </si>
  <si>
    <t>Xin</t>
  </si>
  <si>
    <t>Humedad inicial sólido</t>
  </si>
  <si>
    <t>se calcula como la relación de agua y levadura en la levadura, un 70% de humedad</t>
  </si>
  <si>
    <t>[Btu/ lb °F]</t>
  </si>
  <si>
    <t>Cplev</t>
  </si>
  <si>
    <t>Cp levadura</t>
  </si>
  <si>
    <t>Cpl</t>
  </si>
  <si>
    <t>Cp agua</t>
  </si>
  <si>
    <t>Cpair</t>
  </si>
  <si>
    <t>Cp aire</t>
  </si>
  <si>
    <t>Secador  Rotatorio</t>
  </si>
  <si>
    <t xml:space="preserve">[m^2] </t>
  </si>
  <si>
    <t>Referencias</t>
  </si>
  <si>
    <t>[1] BREWTOAD. Home Brews For Fall. [en línea]&lt;https://www.brewtoad.com/&gt;[consulta: 19 de Noviembre 2018]</t>
  </si>
  <si>
    <t>[2] GERARDO ARIAS. 1991. Calidad industrial de la cebada cervezera. Montevideo, Uruguay. INIA. Pag 28</t>
  </si>
  <si>
    <t>Se utiliza la resistencia de membrana de jugo de fruta</t>
  </si>
  <si>
    <t>Se utiliza la resistividad específica de jugo de fruta</t>
  </si>
  <si>
    <t>Se usa la concentración de sólidos inertes</t>
  </si>
  <si>
    <t>[3]  KOLAWOLE, AGBETOYE, OGUNLOWO, SAMUEL.2012. Determination of Juice Removal Difficulty from Mash Cake in Cassava Mash Dewatering Operation.Nigeria. Leonardo Electronic Journal of Practices and Technologies. Pag 188</t>
  </si>
  <si>
    <t>[4]</t>
  </si>
  <si>
    <t>[5]</t>
  </si>
  <si>
    <t xml:space="preserve">[4] SHANGHAI DAZHANG. Filtro multicapa acero inoxidable. [en Línea]&lt;https://www.dzfilter.com/product/Stainless_steel_multilayer_filter-es.html?gclid=CjwKCAiAt4rfBRBKEiwAC678KTKIhkjNv0Iw8ug_Knn_yFzyjRVd5xFC8o17B0lnRB5nyPq_diNL6BoCfuUQAvD_BwE#S2&gt;[consulta: 19 de Noviembre] </t>
  </si>
  <si>
    <t>[5] Kilma, M. S.; Arnold, Barbara J.; Munjack, J.; Barry, B. (2013). Application of a Pilot-Scale Plate Filter Press in Dewatering Coal Slurries. Society for Mining, Metallurgy and Exploration (SME). pp. 42–50</t>
  </si>
  <si>
    <t>Se considera el cp del agua</t>
  </si>
  <si>
    <t>[7] Chavarro Rodríguez, Daniel Alfonso. DISEÑO DE UNA PLANTA DE TRATAMIENTO DE AGUA POTABLE DE 2 LTS/S PARA UNA POBLACION DE 750 HABITANTES. Bogotá, Universidad Militar Nueva Granda, Especialización en planeación y manejo integral de los recursos naturales. 2014. P9-11</t>
  </si>
  <si>
    <t>[6] Ortiz. MF. Rincón, A. Herrera, OF. Esquema para el dimensionamiento de unidades de sedimentación de alta tasa de flujo ascendente. Manizales, Colombia. Universidad Católica de manizales, facultad de ingenieria y arquitectura. 2014 P31-33</t>
  </si>
  <si>
    <t>[5] Herrera Delgado, Juan Sebastián. Melo Parra, Anderson. DISEÑO Y CONSTRUCCIÓN DE UNA PLANTA PILOTO PARA EL TRATAMIENTO DE AGUA POTABLE EN EL LABORATORIO DE LA UNIVERSIDAD CATOLICA DE COLOMBIA. Trabajo de grado para optar al título de ING civil. Bogotá.  Universidad de La Selle, facultad de ingenieria, 2016. P54-55</t>
  </si>
  <si>
    <t>[4] Jairo Alberto Romero Rojas. Potabilización del agua. Tercera edición. Bogotá. Escuela de Colombiana de ingeniería. 2009. P143-145</t>
  </si>
  <si>
    <t xml:space="preserve">[3] Fernández Acuña, Sebastian Ignacio, TRATAMIENTO Y DISPOSICIÓN DE AGUAS RESIDUALES DE PLANTAS DE TRATAMIENTO DE AGUA POTABLE EN CHILE. Trabajo para optar al título de Ingeniero civil . Santiago. Universidad de Chile, FCFM. 2015. P21 y P30 </t>
  </si>
  <si>
    <t>[2] “DIAGNÓSTICO DE CALIDAD DE AGUAS SUBTERRÁNEAS EN LA REGIÓN METROPOLITANA- COMPLEMENTARIO DIAGNÓSTICO PLAN MAESTRO DE RECURSOS HÍDRICOS REGIÓN METROPOLITANA DE SANTIAGO”. Santiago. 2016 [en línea] &lt;http://documentos.dga.cl/CQA5649.pdf&gt;  [consulta: 5 noviembre 2018] P107-P110.</t>
  </si>
  <si>
    <t>[1] Propiedades del agua a distintas temperatura. &lt;http://fluidos.eia.edu.co/fluidos/propiedades/viscosidad/unidadesvis.html&gt; [En línea] [fecha de consula 12 de noviembre]</t>
  </si>
  <si>
    <t>Se despeja la ecuación anterior en funcion de la dosis de cloruro férrico, se calculo fuera del excel debido a su compleja estructura.</t>
  </si>
  <si>
    <t>[gm/L]</t>
  </si>
  <si>
    <t>Dosis fe(III)</t>
  </si>
  <si>
    <t>Dosis de cloruro férrico</t>
  </si>
  <si>
    <t>Se obtiene del gráfico de P21</t>
  </si>
  <si>
    <t>[g Ar/kg sólido]</t>
  </si>
  <si>
    <t>1,2*10^-3</t>
  </si>
  <si>
    <t>Ass</t>
  </si>
  <si>
    <t>Contenido de arsenico en sólidos de aguas residuales de coagulación</t>
  </si>
  <si>
    <t xml:space="preserve"> [4]</t>
  </si>
  <si>
    <t>Se aproxima al natural mayor en este caso 4 placas</t>
  </si>
  <si>
    <t>Números de placas</t>
  </si>
  <si>
    <t>[5] [6]</t>
  </si>
  <si>
    <t>No se consideran volumenes muertos</t>
  </si>
  <si>
    <t>[min]</t>
  </si>
  <si>
    <t>ts</t>
  </si>
  <si>
    <t>Tiempo de retención en el tanque de sedimentación</t>
  </si>
  <si>
    <t>Uso de la ecuacion de Yao. Coeficiente para el tipo de sedimentador Sc es 1</t>
  </si>
  <si>
    <t xml:space="preserve">Velocidad crítica de sedimentación </t>
  </si>
  <si>
    <t>[4] [6] [7]</t>
  </si>
  <si>
    <t>Esta ecución es válida solo si el resultado es positiva si no, se utiliza otra fórmula</t>
  </si>
  <si>
    <t>Longitud relativa efectiva de sedimentación</t>
  </si>
  <si>
    <t>[4] [5]</t>
  </si>
  <si>
    <t>Se divide la velocidad incial del sedimentador para dejarla en unidades de metros por minuto</t>
  </si>
  <si>
    <t>[m/min]</t>
  </si>
  <si>
    <t>Vo2</t>
  </si>
  <si>
    <t>Velocidad inicial del sedimentador</t>
  </si>
  <si>
    <t>[4] [6]</t>
  </si>
  <si>
    <t>Se trabaja en régimen laminar lo que se comprobó con el cálculo del numero de reynolds</t>
  </si>
  <si>
    <t>[m/dia]</t>
  </si>
  <si>
    <t>Vo</t>
  </si>
  <si>
    <t>Re</t>
  </si>
  <si>
    <t xml:space="preserve">Reynolds </t>
  </si>
  <si>
    <t>T</t>
  </si>
  <si>
    <t>Temperatura Agua</t>
  </si>
  <si>
    <t>Q2</t>
  </si>
  <si>
    <t>Flujo de agua cruda</t>
  </si>
  <si>
    <t xml:space="preserve">Requerimiento para mantener abastecida la planta </t>
  </si>
  <si>
    <t>Q</t>
  </si>
  <si>
    <t>Se utiliza la relacion que 1/2=Ls/As  [4]</t>
  </si>
  <si>
    <t>As</t>
  </si>
  <si>
    <t>Ancho sedimentador</t>
  </si>
  <si>
    <t>Ls</t>
  </si>
  <si>
    <t>Largo sedimentador</t>
  </si>
  <si>
    <t xml:space="preserve"> [4] [5] [6] [7]</t>
  </si>
  <si>
    <t>d</t>
  </si>
  <si>
    <t>Separación entre palcas</t>
  </si>
  <si>
    <t>Área útil sedimentador</t>
  </si>
  <si>
    <t>Radianes</t>
  </si>
  <si>
    <t>θ</t>
  </si>
  <si>
    <t>Ángulo placa</t>
  </si>
  <si>
    <t xml:space="preserve">l </t>
  </si>
  <si>
    <t>[3] Pag36</t>
  </si>
  <si>
    <t>[mg/L]</t>
  </si>
  <si>
    <t>SSte</t>
  </si>
  <si>
    <t>Concentración de sólidos suspendidos totales en el agua cruda</t>
  </si>
  <si>
    <t>Ase</t>
  </si>
  <si>
    <t>Concentración arsénico en agua cruda</t>
  </si>
  <si>
    <t>Se utiliza la viscosidad cinemática para una temperatura de 15°C [1]</t>
  </si>
  <si>
    <t>[m^2/s]</t>
  </si>
  <si>
    <t>Viscosidad cinematica del agua</t>
  </si>
  <si>
    <t>13905*0,013- (13500*0,001339+405*0,4010)=----&gt;</t>
  </si>
  <si>
    <t>Cout</t>
  </si>
  <si>
    <t>[L/batch]</t>
  </si>
  <si>
    <t>Fout</t>
  </si>
  <si>
    <t>Caudal Salida de tratamiento</t>
  </si>
  <si>
    <t>Cret</t>
  </si>
  <si>
    <t>Fret</t>
  </si>
  <si>
    <t>Caudal retenido por el tratamiento</t>
  </si>
  <si>
    <t>Ci</t>
  </si>
  <si>
    <t>Fin</t>
  </si>
  <si>
    <t>Caudal proceso considerando la perdida (3%)</t>
  </si>
  <si>
    <t>Fn</t>
  </si>
  <si>
    <t>Caudal requerido para el proceso</t>
  </si>
  <si>
    <t>Concentración de arsénico [mg/L]</t>
  </si>
  <si>
    <t>Balance Imperial Stout</t>
  </si>
  <si>
    <t>18051,87*0,013- (17529*0,001339+405*0,4017)=----&gt;</t>
  </si>
  <si>
    <t>[4] Chavarro Rodríguez, Daniel Alfonso. DISEÑO DE UNA PLANTA DE TRATAMIENTO DE AGUA POTABLE DE 2 LTS/S PARA UNA POBLACION DE 750 HABITANTES. Bogotá, Universidad Militar Nueva Granda, Especialización en planeación y manejo integral de los recursos naturales. 2014. P11-12</t>
  </si>
  <si>
    <t>[3] Herrera Delgado, Juan Sebastián. Melo Parra, Anderson. DISEÑO Y CONSTRUCCIÓN DE UNA PLANTA PILOTO PARA EL TRATAMIENTO DE AGUA POTABLE EN EL LABORATORIO DE LA UNIVERSIDAD CATOLICA DE COLOMBIA. Trabajo de grado para optar al título de ING civil. Bogotá.  Universidad Católica de Colombia, facultad de ingenieria, 2016. P57-58</t>
  </si>
  <si>
    <t>[2] Ángel Delgadillo, Jeimmy Catalina. Morales Carreño, Yurany Lisseth. PROPUESTA PARA EL DISEÑO PRELIMINAR DE UN SISTEMA DE POTABILIZACIÓN DE AGUA SUBTERRÁNEA EN UNA INSTITUCIÓN EDUCATIVA UBICADA EN EL MUNICIPIO DE CHIMICHAGUA CESAR. Programa de ingenieria ambiental y sanitaria. Bogotá. Universidad de La Selle, facultad  ingeniería. 2016. P81-89</t>
  </si>
  <si>
    <t>[1] Jairo Alberto Romero Rojas. Potabilización del agua. Tercera edición. Bogotá. Escuela de Colombiana de ingeniería. 2009. P196-199</t>
  </si>
  <si>
    <t>Vf=Af*As</t>
  </si>
  <si>
    <t>Vf</t>
  </si>
  <si>
    <t>Volumen de cada filtro</t>
  </si>
  <si>
    <t>Af=FF+An+Am+G+GG+GF+BL+ZE</t>
  </si>
  <si>
    <t xml:space="preserve">Af </t>
  </si>
  <si>
    <t>Se considera que aplicar retrolavado los lechos se expanden un 50%, considerando solo los lechos que en este caso son la antrocita y la arena</t>
  </si>
  <si>
    <t>Ze=(An+Af+Ag)*0,5</t>
  </si>
  <si>
    <t>Ze</t>
  </si>
  <si>
    <t>Zona de expasión para retrolavado</t>
  </si>
  <si>
    <t>[2] [3]</t>
  </si>
  <si>
    <t>D=2*(As/Pi)^0,5</t>
  </si>
  <si>
    <t>Diámetro filtros</t>
  </si>
  <si>
    <t>[3] [4]</t>
  </si>
  <si>
    <t>As=At/Nr</t>
  </si>
  <si>
    <t>Área para cada filtro</t>
  </si>
  <si>
    <t>At=Q2/tf</t>
  </si>
  <si>
    <t>At</t>
  </si>
  <si>
    <t>Área total del filtro</t>
  </si>
  <si>
    <t>Cu=Q2/Nr</t>
  </si>
  <si>
    <t>[m^3/dia]</t>
  </si>
  <si>
    <t>Cu</t>
  </si>
  <si>
    <t>Caudal unitario por filtro</t>
  </si>
  <si>
    <t>Debido a que se necesita considerar el retrolavado del sistema</t>
  </si>
  <si>
    <t>Nr</t>
  </si>
  <si>
    <t>Numero de filtros a utilizar</t>
  </si>
  <si>
    <t>Se utiliza la ecuacion de Morril y Walace</t>
  </si>
  <si>
    <t>N= 0,044*Q2^0,5</t>
  </si>
  <si>
    <t>Numero de filtros</t>
  </si>
  <si>
    <t>Total arsénico en el proceso Golden ale  [mg]</t>
  </si>
  <si>
    <t>Total arsénico en el proceso ambar  [mg]</t>
  </si>
  <si>
    <t>Total arsénico en el proceso Stout  [mg]</t>
  </si>
  <si>
    <t>Temperatura de agua</t>
  </si>
  <si>
    <t>Eficiencia de remoción de arsénico</t>
  </si>
  <si>
    <t>[m^3/día]</t>
  </si>
  <si>
    <t>Flujo de agua a tratar por dia</t>
  </si>
  <si>
    <t>Concentración incial de arsénico [mg/L]</t>
  </si>
  <si>
    <t>Flujo de agua a tratar por segundo</t>
  </si>
  <si>
    <t>Caudal perdido durante el proceso</t>
  </si>
  <si>
    <t>[1] [2]</t>
  </si>
  <si>
    <t>[m^3/dia*m^2]</t>
  </si>
  <si>
    <t>Tf</t>
  </si>
  <si>
    <t>Tasa de filtración</t>
  </si>
  <si>
    <t>BL</t>
  </si>
  <si>
    <t>Borde libre</t>
  </si>
  <si>
    <t>BALANCE DE MASA TRATAMIENTO DE AGUA</t>
  </si>
  <si>
    <t>[1][2]</t>
  </si>
  <si>
    <t>GF</t>
  </si>
  <si>
    <t>Soporte grava fina</t>
  </si>
  <si>
    <t>GG</t>
  </si>
  <si>
    <t>Soporte grava gruesa</t>
  </si>
  <si>
    <t>Granito</t>
  </si>
  <si>
    <t>Am</t>
  </si>
  <si>
    <t>Arena media</t>
  </si>
  <si>
    <t>An</t>
  </si>
  <si>
    <t>Antracita</t>
  </si>
  <si>
    <t>Todo sigiendo las indicaciones del libro de Jairo Romero [1]</t>
  </si>
  <si>
    <t>FF</t>
  </si>
  <si>
    <t>Fondo falso</t>
  </si>
  <si>
    <t>Balance de Masa Cerveza Ambar Ale</t>
  </si>
  <si>
    <t>Balance de Masa Cerveza Golden Ale</t>
  </si>
  <si>
    <t>[2] Gee, D. A., &amp; Ramirez, W. F. (1994). A flavour model for beer fermentation. Journal of the Institute of Brewing, 100(5), 321-329</t>
  </si>
  <si>
    <t>Ecuación empírica dimensional mostrada en el McCabe edición 2007 pg 859</t>
  </si>
  <si>
    <t>[4]  (2018). Retrieved from https://lopezva.files.wordpress.com/2011/10/correlaciones-para-la-conveccic3b3n-forzada.pdf</t>
  </si>
  <si>
    <t>[4]  (2018). Retrieved from http://catalog.conveyorspneumatic.com/Asset/FLS%20Specific%20Heat%20Capacities%20of%20Gases.pdf</t>
  </si>
  <si>
    <t>[3] Perry, J. H. (1950). Chemical engineers' handbook.</t>
  </si>
  <si>
    <t>[2] Propiedades del agua a distintas temperatura. &lt;http://fluidos.eia.edu.co/fluidos/propiedades/viscosidad/unidadesvis.html&gt; [En línea] [fecha de consula 12 de noviembre]</t>
  </si>
  <si>
    <t>Battley, E. H., Putnam, R. L., &amp; Boerio-Goates, J. (1997). Heat capacity measurements from 10 to 300 K and derived thermodynamic functions of lyophilized cells of Saccharomyces cerevisiae including the absolute entropy and the entropy of formation at 298.15 K. Thermochimica acta, 298(1-2), 37-46.</t>
  </si>
  <si>
    <t>Materias Primas</t>
  </si>
  <si>
    <t>Malta</t>
  </si>
  <si>
    <t>Lúpulo</t>
  </si>
  <si>
    <t>Levadura</t>
  </si>
  <si>
    <t>Fruta</t>
  </si>
  <si>
    <t xml:space="preserve">Bicarbonato </t>
  </si>
  <si>
    <t>Coagulantes</t>
  </si>
  <si>
    <t>Floculantes</t>
  </si>
  <si>
    <t>Salidas</t>
  </si>
  <si>
    <t>Orujo</t>
  </si>
  <si>
    <t>Mosto</t>
  </si>
  <si>
    <t>Salidas [kg]</t>
  </si>
  <si>
    <t>[6] C.J.Geankoplis. 1998. Procesos de Transporte y Operaciones Unitarias. Tercera Edición. México. Continental, S.A. DE C.V. 893-900.</t>
  </si>
  <si>
    <t>Masa de mosto acumulada [kg]</t>
  </si>
  <si>
    <t>Flujo de Agua evaporado</t>
  </si>
  <si>
    <t>Masa de agua evaporada</t>
  </si>
  <si>
    <t>Densidad Mosto</t>
  </si>
  <si>
    <t>Whirlpool</t>
  </si>
  <si>
    <t>Masa inicial de Mosto</t>
  </si>
  <si>
    <t>Factor disminución de densidad Cerveza Ambar Ale</t>
  </si>
  <si>
    <t>Factor disminución de densidad Cerveza Imperial Stout</t>
  </si>
  <si>
    <t>Factor dismiución de densidad Cerveza Golden Ale</t>
  </si>
  <si>
    <t>[2] BREWTOAD. Home Brews For Fall. [en línea]&lt;https://www.brewtoad.com/&gt;[consulta: 19 de Noviembre 2018]</t>
  </si>
  <si>
    <t>[3] BREWTOAD. Home Brews For Fall. [en línea]&lt;https://www.brewtoad.com/&gt;[consulta: 19 de Noviembre 2018]</t>
  </si>
  <si>
    <r>
      <t>P</t>
    </r>
    <r>
      <rPr>
        <sz val="8"/>
        <color theme="1"/>
        <rFont val="Calibri"/>
        <family val="2"/>
        <scheme val="minor"/>
      </rPr>
      <t>e</t>
    </r>
  </si>
  <si>
    <r>
      <rPr>
        <sz val="11"/>
        <color theme="1"/>
        <rFont val="Calibri"/>
        <family val="2"/>
        <scheme val="minor"/>
      </rPr>
      <t>P</t>
    </r>
    <r>
      <rPr>
        <sz val="8"/>
        <color theme="1"/>
        <rFont val="Calibri"/>
        <family val="2"/>
        <scheme val="minor"/>
      </rPr>
      <t>n</t>
    </r>
  </si>
  <si>
    <r>
      <rPr>
        <sz val="11"/>
        <color theme="1"/>
        <rFont val="Calibri"/>
        <family val="2"/>
        <scheme val="minor"/>
      </rPr>
      <t>P</t>
    </r>
    <r>
      <rPr>
        <sz val="8"/>
        <color theme="1"/>
        <rFont val="Calibri"/>
        <family val="2"/>
        <scheme val="minor"/>
      </rPr>
      <t>x</t>
    </r>
  </si>
  <si>
    <r>
      <rPr>
        <sz val="11"/>
        <color theme="1"/>
        <rFont val="Calibri"/>
        <family val="2"/>
        <scheme val="minor"/>
      </rPr>
      <t>P</t>
    </r>
    <r>
      <rPr>
        <sz val="8"/>
        <color theme="1"/>
        <rFont val="Calibri"/>
        <family val="2"/>
        <scheme val="minor"/>
      </rPr>
      <t>co2</t>
    </r>
  </si>
  <si>
    <r>
      <rPr>
        <sz val="11"/>
        <color theme="1"/>
        <rFont val="Calibri"/>
        <family val="2"/>
        <scheme val="minor"/>
      </rPr>
      <t>P</t>
    </r>
    <r>
      <rPr>
        <sz val="8"/>
        <color theme="1"/>
        <rFont val="Calibri"/>
        <family val="2"/>
        <scheme val="minor"/>
      </rPr>
      <t>a</t>
    </r>
  </si>
  <si>
    <r>
      <rPr>
        <sz val="11"/>
        <color theme="1"/>
        <rFont val="Calibri"/>
        <family val="2"/>
        <scheme val="minor"/>
      </rPr>
      <t>P</t>
    </r>
    <r>
      <rPr>
        <sz val="8"/>
        <color theme="1"/>
        <rFont val="Calibri"/>
        <family val="2"/>
        <scheme val="minor"/>
      </rPr>
      <t>b</t>
    </r>
  </si>
  <si>
    <r>
      <t>ρ</t>
    </r>
    <r>
      <rPr>
        <sz val="8"/>
        <color theme="1"/>
        <rFont val="Calibri"/>
        <family val="2"/>
      </rPr>
      <t>A</t>
    </r>
  </si>
  <si>
    <r>
      <t>ρ</t>
    </r>
    <r>
      <rPr>
        <sz val="8"/>
        <color theme="1"/>
        <rFont val="Calibri"/>
        <family val="2"/>
      </rPr>
      <t>S</t>
    </r>
  </si>
  <si>
    <r>
      <t>ρ</t>
    </r>
    <r>
      <rPr>
        <sz val="8"/>
        <color theme="1"/>
        <rFont val="Calibri"/>
        <family val="2"/>
      </rPr>
      <t>G</t>
    </r>
  </si>
  <si>
    <r>
      <t>α</t>
    </r>
    <r>
      <rPr>
        <sz val="8"/>
        <color theme="1"/>
        <rFont val="Calibri"/>
        <family val="2"/>
      </rPr>
      <t>S</t>
    </r>
  </si>
  <si>
    <r>
      <t>α</t>
    </r>
    <r>
      <rPr>
        <sz val="8"/>
        <color theme="1"/>
        <rFont val="Calibri"/>
        <family val="2"/>
      </rPr>
      <t>A</t>
    </r>
  </si>
  <si>
    <r>
      <t>α</t>
    </r>
    <r>
      <rPr>
        <sz val="8"/>
        <color theme="1"/>
        <rFont val="Calibri"/>
        <family val="2"/>
      </rPr>
      <t>G</t>
    </r>
  </si>
  <si>
    <t>Peso molecular Etanol</t>
  </si>
  <si>
    <t>Peso molecular Agua</t>
  </si>
  <si>
    <t>Peso molecular Ión Carbonato</t>
  </si>
  <si>
    <t>Peso molecular Glucosa</t>
  </si>
  <si>
    <t>Peso molecular Maltosa</t>
  </si>
  <si>
    <t>Peso molecular Maltotriosa</t>
  </si>
  <si>
    <t>Tasa crecimiento específico máximo en Glucosa</t>
  </si>
  <si>
    <t>Tasa crecimiento específico máximo en Maltosa</t>
  </si>
  <si>
    <t>Tasa crecimiento específico máximo en Maltotriosa</t>
  </si>
  <si>
    <t>Constante de Michaelis en Glucosa</t>
  </si>
  <si>
    <t>Constante de Michaelis en Maltosa</t>
  </si>
  <si>
    <t>Constante de Michaelis en Maltotriosa</t>
  </si>
  <si>
    <t>Constante de inhibición por  Glucosa</t>
  </si>
  <si>
    <t>Constante de inhibición por  Maltosa</t>
  </si>
  <si>
    <t>Se obtiene bibliograficamente un factor de disminución de la densidad luego del proceso de fermentación en cerveza Imperial Stout</t>
  </si>
  <si>
    <t>Se obtiene bibliograficamente un factor de disminución de la densidad luego del proceso de fermentación en cerveza Golden Ale</t>
  </si>
  <si>
    <t>Se obtiene bibliograficamente un factor de disminución de la densidad luego del proceso de fermentación en cerveza Ambar Ale</t>
  </si>
  <si>
    <t>Dato extraído del proceso de cocción</t>
  </si>
  <si>
    <t>Columna1</t>
  </si>
  <si>
    <t>Reacción Bioquímica</t>
  </si>
  <si>
    <t>[4] Roels, J. A. (1980). Application of macroscopic principles to microbial metabolism. Biotechnology and Bioengineering, 22(12), 2457-2514.</t>
  </si>
  <si>
    <t>[5] Dennis E. Briggs, Chris A. Boulton, Peter A. Brookes, RogerStevens. Brewing Science and practice. Cambridge England. Woodhead Publishing Limited. 2004. pag 44, 477</t>
  </si>
  <si>
    <t>[1] National Institute of Standars and Technology. 2018. Libro del Web de Química. [en Línea]&lt;https://webbook.nist.gov/chemistry/&gt; [consulta: 10 de Noviembre 2018]</t>
  </si>
  <si>
    <r>
      <t>Se estimo un f</t>
    </r>
    <r>
      <rPr>
        <sz val="8"/>
        <color theme="1"/>
        <rFont val="Calibri"/>
        <family val="2"/>
        <scheme val="minor"/>
      </rPr>
      <t xml:space="preserve">e </t>
    </r>
    <r>
      <rPr>
        <sz val="11"/>
        <color theme="1"/>
        <rFont val="Calibri"/>
        <family val="2"/>
        <scheme val="minor"/>
      </rPr>
      <t>de 0,9 para la producción de etanol</t>
    </r>
  </si>
  <si>
    <r>
      <t>C</t>
    </r>
    <r>
      <rPr>
        <sz val="8"/>
        <color theme="1"/>
        <rFont val="Calibri"/>
        <family val="2"/>
      </rPr>
      <t>g,in</t>
    </r>
  </si>
  <si>
    <r>
      <t>C</t>
    </r>
    <r>
      <rPr>
        <sz val="8"/>
        <color theme="1"/>
        <rFont val="Calibri"/>
        <family val="2"/>
      </rPr>
      <t>m,in</t>
    </r>
  </si>
  <si>
    <r>
      <t>C</t>
    </r>
    <r>
      <rPr>
        <sz val="8"/>
        <color theme="1"/>
        <rFont val="Calibri"/>
        <family val="2"/>
      </rPr>
      <t>N,in</t>
    </r>
  </si>
  <si>
    <r>
      <t>C</t>
    </r>
    <r>
      <rPr>
        <sz val="8"/>
        <color theme="1"/>
        <rFont val="Calibri"/>
        <family val="2"/>
      </rPr>
      <t>dex,in</t>
    </r>
  </si>
  <si>
    <r>
      <t>C</t>
    </r>
    <r>
      <rPr>
        <sz val="8"/>
        <color theme="1"/>
        <rFont val="Calibri"/>
        <family val="2"/>
      </rPr>
      <t>e,in</t>
    </r>
  </si>
  <si>
    <r>
      <t>C</t>
    </r>
    <r>
      <rPr>
        <sz val="8"/>
        <color theme="1"/>
        <rFont val="Calibri"/>
        <family val="2"/>
      </rPr>
      <t>x,in</t>
    </r>
  </si>
  <si>
    <t>Concentración Inóculo inicial</t>
  </si>
  <si>
    <r>
      <t>V</t>
    </r>
    <r>
      <rPr>
        <sz val="8"/>
        <color theme="1"/>
        <rFont val="Calibri"/>
        <family val="2"/>
      </rPr>
      <t>h,in</t>
    </r>
  </si>
  <si>
    <t>Volumen inicial Mosto</t>
  </si>
  <si>
    <r>
      <t>M</t>
    </r>
    <r>
      <rPr>
        <sz val="8"/>
        <color theme="1"/>
        <rFont val="Calibri"/>
        <family val="2"/>
      </rPr>
      <t>h,in</t>
    </r>
  </si>
  <si>
    <r>
      <t>M</t>
    </r>
    <r>
      <rPr>
        <sz val="8"/>
        <color theme="1"/>
        <rFont val="Calibri"/>
        <family val="2"/>
      </rPr>
      <t>l, in</t>
    </r>
  </si>
  <si>
    <r>
      <t>M</t>
    </r>
    <r>
      <rPr>
        <sz val="8"/>
        <color theme="1"/>
        <rFont val="Calibri"/>
        <family val="2"/>
      </rPr>
      <t>b,in</t>
    </r>
  </si>
  <si>
    <r>
      <t>M</t>
    </r>
    <r>
      <rPr>
        <sz val="8"/>
        <color theme="1"/>
        <rFont val="Calibri"/>
        <family val="2"/>
      </rPr>
      <t>n,in</t>
    </r>
  </si>
  <si>
    <r>
      <t>V</t>
    </r>
    <r>
      <rPr>
        <sz val="8"/>
        <color theme="1"/>
        <rFont val="Calibri"/>
        <family val="2"/>
      </rPr>
      <t>s</t>
    </r>
  </si>
  <si>
    <t>Concentración de Glucosa inicial</t>
  </si>
  <si>
    <t>Concentración de Maltosa inicial</t>
  </si>
  <si>
    <t>Concentración de Maltotriosa inicial</t>
  </si>
  <si>
    <t>Concentración de Etanol inicial</t>
  </si>
  <si>
    <t>Masa de Bicarbonato añadido</t>
  </si>
  <si>
    <t>Masa de Levadura añadida</t>
  </si>
  <si>
    <t>Masa de Sulfuro de Amonio añadida</t>
  </si>
  <si>
    <r>
      <t>C</t>
    </r>
    <r>
      <rPr>
        <sz val="8"/>
        <color theme="1"/>
        <rFont val="Calibri"/>
        <family val="2"/>
        <scheme val="minor"/>
      </rPr>
      <t>g,out</t>
    </r>
  </si>
  <si>
    <r>
      <t>C</t>
    </r>
    <r>
      <rPr>
        <sz val="8"/>
        <color theme="1"/>
        <rFont val="Calibri"/>
        <family val="2"/>
        <scheme val="minor"/>
      </rPr>
      <t>m,out</t>
    </r>
  </si>
  <si>
    <r>
      <t>C</t>
    </r>
    <r>
      <rPr>
        <sz val="8"/>
        <color theme="1"/>
        <rFont val="Calibri"/>
        <family val="2"/>
        <scheme val="minor"/>
      </rPr>
      <t>N,out</t>
    </r>
  </si>
  <si>
    <r>
      <t>C</t>
    </r>
    <r>
      <rPr>
        <sz val="8"/>
        <color theme="1"/>
        <rFont val="Calibri"/>
        <family val="2"/>
        <scheme val="minor"/>
      </rPr>
      <t>x,out</t>
    </r>
  </si>
  <si>
    <t>Masa [mol]2</t>
  </si>
  <si>
    <t>Masa [g]3</t>
  </si>
  <si>
    <t>Sustratos Consumidos</t>
  </si>
  <si>
    <t>Resultados</t>
  </si>
  <si>
    <t xml:space="preserve">Grados de alcohol </t>
  </si>
  <si>
    <t>Error% balance masa</t>
  </si>
  <si>
    <t>Volumen Cerveza Ambar Ale</t>
  </si>
  <si>
    <t>Volumen Cerveza Imperial Stout</t>
  </si>
  <si>
    <t>Error % Balance Masa</t>
  </si>
  <si>
    <t>Concentración final de Glucosa</t>
  </si>
  <si>
    <t>Concentración final de Maltosa</t>
  </si>
  <si>
    <t>Concentración final de Maltotriosa</t>
  </si>
  <si>
    <t>Concentración final de Biomasa</t>
  </si>
  <si>
    <t>Cerveza Golden Ale</t>
  </si>
  <si>
    <t>Cerveza Imperial Stout</t>
  </si>
  <si>
    <t>Volumen Cerveza Golden Ale</t>
  </si>
  <si>
    <t>Masa[g]</t>
  </si>
  <si>
    <t>Masa[mol]</t>
  </si>
  <si>
    <t>Error% Balance Masa</t>
  </si>
  <si>
    <t>ρs</t>
  </si>
  <si>
    <t>ρa</t>
  </si>
  <si>
    <t>ρg</t>
  </si>
  <si>
    <t>Densidad Cerveza Imperial Stout</t>
  </si>
  <si>
    <t>Bibliografía2</t>
  </si>
  <si>
    <r>
      <t>C</t>
    </r>
    <r>
      <rPr>
        <sz val="8"/>
        <color theme="1"/>
        <rFont val="Calibri"/>
        <family val="2"/>
        <scheme val="minor"/>
      </rPr>
      <t>rs,in</t>
    </r>
  </si>
  <si>
    <r>
      <t>C</t>
    </r>
    <r>
      <rPr>
        <sz val="8"/>
        <color theme="1"/>
        <rFont val="Calibri"/>
        <family val="2"/>
        <scheme val="minor"/>
      </rPr>
      <t>ra,in</t>
    </r>
  </si>
  <si>
    <r>
      <t>C</t>
    </r>
    <r>
      <rPr>
        <sz val="8"/>
        <color theme="1"/>
        <rFont val="Calibri"/>
        <family val="2"/>
        <scheme val="minor"/>
      </rPr>
      <t>rg,in</t>
    </r>
  </si>
  <si>
    <t>Concentración residuos Imperial Stout</t>
  </si>
  <si>
    <t>Concentración residuos Ambar Ale</t>
  </si>
  <si>
    <t>Concentración residuos Golden Ale</t>
  </si>
  <si>
    <t>Presión de operación utilizada por catáogo</t>
  </si>
  <si>
    <t>Se toma un tiempo de operación de 4 horas</t>
  </si>
  <si>
    <t>Masa de sólido Acumulada [kg]</t>
  </si>
  <si>
    <r>
      <t>F</t>
    </r>
    <r>
      <rPr>
        <sz val="8"/>
        <color theme="1"/>
        <rFont val="Calibri"/>
        <family val="2"/>
        <scheme val="minor"/>
      </rPr>
      <t>h,in</t>
    </r>
  </si>
  <si>
    <t>Flujo de mosto entrada</t>
  </si>
  <si>
    <t>Flujo de mosto salida</t>
  </si>
  <si>
    <r>
      <t>F</t>
    </r>
    <r>
      <rPr>
        <sz val="8"/>
        <color theme="1"/>
        <rFont val="Calibri"/>
        <family val="2"/>
        <scheme val="minor"/>
      </rPr>
      <t>h,out</t>
    </r>
  </si>
  <si>
    <r>
      <t>F</t>
    </r>
    <r>
      <rPr>
        <sz val="8"/>
        <color theme="1"/>
        <rFont val="Calibri"/>
        <family val="2"/>
        <scheme val="minor"/>
      </rPr>
      <t>h,per</t>
    </r>
  </si>
  <si>
    <t>Flujo de mosto pérdido</t>
  </si>
  <si>
    <t>Masa de sólido eliminada [kg]</t>
  </si>
  <si>
    <t>Masa de agua eliminada [kg]</t>
  </si>
  <si>
    <t xml:space="preserve">[1] Rubén Sancho Saurina. 2015. Diseño de una Micro-Planta de fabricación de cerveza y estudio de técnicas y procesos de producción. Ingeniería Química. Barcelona. Universitat Politécnica de Catalunya. Pag 77. </t>
  </si>
  <si>
    <t>Vh,in</t>
  </si>
  <si>
    <t>Ma,per</t>
  </si>
  <si>
    <t>Fa,per</t>
  </si>
  <si>
    <r>
      <t>ρ</t>
    </r>
    <r>
      <rPr>
        <sz val="8"/>
        <color theme="1"/>
        <rFont val="Calibri"/>
        <family val="2"/>
      </rPr>
      <t>h,in</t>
    </r>
  </si>
  <si>
    <r>
      <t>V</t>
    </r>
    <r>
      <rPr>
        <sz val="8"/>
        <color theme="1"/>
        <rFont val="Calibri"/>
        <family val="2"/>
        <scheme val="minor"/>
      </rPr>
      <t>h,out</t>
    </r>
  </si>
  <si>
    <r>
      <t>M</t>
    </r>
    <r>
      <rPr>
        <sz val="8"/>
        <color theme="1"/>
        <rFont val="Calibri"/>
        <family val="2"/>
        <scheme val="minor"/>
      </rPr>
      <t>lúpulo</t>
    </r>
  </si>
  <si>
    <r>
      <t>Concentración de azucares fermentables(C</t>
    </r>
    <r>
      <rPr>
        <b/>
        <sz val="8"/>
        <color theme="1"/>
        <rFont val="Calibri"/>
        <family val="2"/>
        <scheme val="minor"/>
      </rPr>
      <t>AZ</t>
    </r>
    <r>
      <rPr>
        <b/>
        <sz val="11"/>
        <color theme="1"/>
        <rFont val="Calibri"/>
        <family val="2"/>
        <scheme val="minor"/>
      </rPr>
      <t>) [g/L]</t>
    </r>
  </si>
  <si>
    <r>
      <t>Concentración de azucares fermentables(C</t>
    </r>
    <r>
      <rPr>
        <sz val="8"/>
        <color theme="1"/>
        <rFont val="Calibri"/>
        <family val="2"/>
        <scheme val="minor"/>
      </rPr>
      <t>AZ</t>
    </r>
    <r>
      <rPr>
        <sz val="11"/>
        <color theme="1"/>
        <rFont val="Calibri"/>
        <family val="2"/>
        <scheme val="minor"/>
      </rPr>
      <t>) [g/L]</t>
    </r>
  </si>
  <si>
    <t>Masa de sólido Acumulada [kg] (Cs)</t>
  </si>
  <si>
    <t>Masa de mosto acumulada [kg] (Mh)</t>
  </si>
  <si>
    <t>Sólidos inertes</t>
  </si>
  <si>
    <t>Entradas [kg]</t>
  </si>
  <si>
    <t>Pérdidas [kg]</t>
  </si>
  <si>
    <t>Supuestos considerados</t>
  </si>
  <si>
    <t>Se absorve mosto en los sóidos retirados</t>
  </si>
  <si>
    <t>Salidas[kg]</t>
  </si>
  <si>
    <t>Se asume una eficiencia del 100%</t>
  </si>
  <si>
    <t>Volumen Mosto Final [L]</t>
  </si>
  <si>
    <t xml:space="preserve">Supuestos considerados </t>
  </si>
  <si>
    <t>Se absorve mosto en los sólidos retirados</t>
  </si>
  <si>
    <t>Entrada [kg]</t>
  </si>
  <si>
    <t>Salida [kg]</t>
  </si>
  <si>
    <t>Volumen final de Mosto [L]</t>
  </si>
  <si>
    <t xml:space="preserve">Magnitud </t>
  </si>
  <si>
    <t>velocidad de mosto</t>
  </si>
  <si>
    <t>velocidad de agua</t>
  </si>
  <si>
    <t>[4] M.J. González, "Proyectos de fin de carrera de Ingeniería Química. Universidad de Cádiz"[en Línea].&lt;https://rodin.uca.es/xmlui/bitstream/handle/10498/6446/33262846.pdf?sequence=1&gt; [consulta: 8 de Noviembre 2018]</t>
  </si>
  <si>
    <t>Observación</t>
  </si>
  <si>
    <t>El cálculo resulta análogo para cualquier tipo de cerveza. Los parámetros de flujo son efectuados de tal manera que el flujo atraviese en menos de 45 Minutos</t>
  </si>
  <si>
    <t>[5] Rubén Sancho Saurina. 2015. Diseño de una Micro-Planta de fabricación de cerveza y estudio de técnicas y procesos de producción. Ingeniería Química. Barcelona. Universitat Politécnica de Catalunya. Pag 72</t>
  </si>
  <si>
    <t>[3] Alfalabal. Intercambiadores de calor de placas y bastidor con juntas. [en línea].&lt;https://www.alfalaval.es/productos-y-soluciones/heat-transfer/intercambiadores-de-calor-de-placas/intercambiadores-de-calor-de-placas-y-bastidor-con-juntas/&gt; [consulta: 15 de Noviembre]</t>
  </si>
  <si>
    <t>[3] Alfa Laval. Intercambiadores de calor para HVAC e Industria. 2015. [en Línea] &lt;https://t-soluciona.com/wp-content/uploads/Catalogo-Alfa-Laval-2015.pdf&gt; [Consulta: 10 de Noviembre 2018]</t>
  </si>
  <si>
    <t>Balance Golden Ale</t>
  </si>
  <si>
    <t>Balance American Ambar Ale</t>
  </si>
  <si>
    <t>Temperatura promedio de agua subterranea  [1]</t>
  </si>
  <si>
    <t>Flujo volumetrico diario</t>
  </si>
  <si>
    <t>Fin*Ci(entrada)-  (Fout*Cout+Fret*Cret) (salida)=Acumulación</t>
  </si>
  <si>
    <t>Densidad agua</t>
  </si>
  <si>
    <r>
      <t>H_</t>
    </r>
    <r>
      <rPr>
        <sz val="11"/>
        <color theme="1"/>
        <rFont val="Calibri"/>
        <family val="2"/>
      </rPr>
      <t>α</t>
    </r>
  </si>
  <si>
    <r>
      <t>H_</t>
    </r>
    <r>
      <rPr>
        <sz val="11"/>
        <color theme="1"/>
        <rFont val="Calibri"/>
        <family val="2"/>
      </rPr>
      <t>β</t>
    </r>
  </si>
  <si>
    <t>km</t>
  </si>
  <si>
    <r>
      <t xml:space="preserve">Coeficiente disolución </t>
    </r>
    <r>
      <rPr>
        <sz val="11"/>
        <color theme="1"/>
        <rFont val="Calibri"/>
        <family val="2"/>
      </rPr>
      <t>α-</t>
    </r>
    <r>
      <rPr>
        <sz val="11"/>
        <color theme="1"/>
        <rFont val="Calibri"/>
        <family val="2"/>
        <scheme val="minor"/>
      </rPr>
      <t>amilasa</t>
    </r>
  </si>
  <si>
    <r>
      <t xml:space="preserve">Coeficiente de disolución de </t>
    </r>
    <r>
      <rPr>
        <sz val="11"/>
        <color theme="1"/>
        <rFont val="Calibri"/>
        <family val="2"/>
      </rPr>
      <t>β-amilasa</t>
    </r>
  </si>
  <si>
    <r>
      <rPr>
        <sz val="11"/>
        <color theme="1"/>
        <rFont val="Calibri"/>
        <family val="2"/>
      </rPr>
      <t>ρ</t>
    </r>
    <r>
      <rPr>
        <sz val="8"/>
        <color theme="1"/>
        <rFont val="Calibri"/>
        <family val="2"/>
      </rPr>
      <t>agua</t>
    </r>
  </si>
  <si>
    <t xml:space="preserve">Constante de Michaelis </t>
  </si>
  <si>
    <t>Factor de frecuencia de denaturación α-amilasa</t>
  </si>
  <si>
    <r>
      <t xml:space="preserve">Factor de frecuencia de denaturación </t>
    </r>
    <r>
      <rPr>
        <sz val="11"/>
        <color theme="1"/>
        <rFont val="Calibri"/>
        <family val="2"/>
      </rPr>
      <t>β</t>
    </r>
    <r>
      <rPr>
        <sz val="11"/>
        <color theme="1"/>
        <rFont val="Calibri"/>
        <family val="2"/>
        <scheme val="minor"/>
      </rPr>
      <t>-amilasa</t>
    </r>
  </si>
  <si>
    <t>Factor proporcional de volumen desplazado</t>
  </si>
  <si>
    <r>
      <t>ko_</t>
    </r>
    <r>
      <rPr>
        <sz val="11"/>
        <color theme="1"/>
        <rFont val="Calibri"/>
        <family val="2"/>
      </rPr>
      <t>α</t>
    </r>
  </si>
  <si>
    <r>
      <t>ko_</t>
    </r>
    <r>
      <rPr>
        <sz val="11"/>
        <color theme="1"/>
        <rFont val="Calibri"/>
        <family val="2"/>
      </rPr>
      <t>β</t>
    </r>
  </si>
  <si>
    <t>rm</t>
  </si>
  <si>
    <t xml:space="preserve">Factor de frecuencia para converión de almidón en dextrina por α-amilasa </t>
  </si>
  <si>
    <t>Factor de frecuencia para converión de almidón en maltotriosa por α-amilasa</t>
  </si>
  <si>
    <t>Factor de frecuencia para converión de almidón en maltotriosa por β-amilasa</t>
  </si>
  <si>
    <t>Factor de frecuencia para converión de almidón en maltosa por β-amilasa</t>
  </si>
  <si>
    <t>Factor de frecuencia para converión de almidón en glucosa por β-amilasa</t>
  </si>
  <si>
    <t>Energía de activación para denaturación α-amilasa</t>
  </si>
  <si>
    <t>Energía de activación para denaturación β-amilasa</t>
  </si>
  <si>
    <t>Energía de activación para activación de α-amilasa</t>
  </si>
  <si>
    <t>Energía de activación para activación de β-amilasa</t>
  </si>
  <si>
    <t>Constante ideal de gases</t>
  </si>
  <si>
    <t>Temperatura mas evalada en que no se gelatiniza el almidón</t>
  </si>
  <si>
    <t>Temperatura mas baja en la que el almidón se gelatiniza</t>
  </si>
  <si>
    <t>Ao</t>
  </si>
  <si>
    <t>Bo</t>
  </si>
  <si>
    <t>Ao_dex</t>
  </si>
  <si>
    <t>Ao_mal</t>
  </si>
  <si>
    <t>Bo_malt</t>
  </si>
  <si>
    <t>Bo_glu</t>
  </si>
  <si>
    <t>Ed_α</t>
  </si>
  <si>
    <t>Ed_β</t>
  </si>
  <si>
    <t>E_α</t>
  </si>
  <si>
    <t>E_β</t>
  </si>
  <si>
    <t>Tu</t>
  </si>
  <si>
    <t>Tg</t>
  </si>
  <si>
    <t>[L/g*min]</t>
  </si>
  <si>
    <t>[1/min]</t>
  </si>
  <si>
    <t>[L/kg]</t>
  </si>
  <si>
    <t>[U/L]</t>
  </si>
  <si>
    <t>[J/mol]</t>
  </si>
  <si>
    <t>[K]</t>
  </si>
  <si>
    <t>[J/mol*K]</t>
  </si>
  <si>
    <t>Bo_dex</t>
  </si>
  <si>
    <t>Parámetros modelo</t>
  </si>
  <si>
    <t>Actividad enzimática α-amilasa malta húmeda</t>
  </si>
  <si>
    <t>Actividad enzimática β-amilasa malta húmeda</t>
  </si>
  <si>
    <t>Actividad enzimática α-amilasa fase líquida</t>
  </si>
  <si>
    <t>Actividad enzimática β-amilasa fase líquida</t>
  </si>
  <si>
    <t>αo</t>
  </si>
  <si>
    <t>βo</t>
  </si>
  <si>
    <t>β</t>
  </si>
  <si>
    <t>x1</t>
  </si>
  <si>
    <t>x2</t>
  </si>
  <si>
    <t>x3</t>
  </si>
  <si>
    <t>x4</t>
  </si>
  <si>
    <t>x5</t>
  </si>
  <si>
    <t>x6</t>
  </si>
  <si>
    <t>Concentración de dextrina</t>
  </si>
  <si>
    <t>Concentración de almidón</t>
  </si>
  <si>
    <t>Concentración de glucosa</t>
  </si>
  <si>
    <t>Concentración de Maltosa</t>
  </si>
  <si>
    <t>Concentración de dextrina limite</t>
  </si>
  <si>
    <t>Ecuaciones diferenciales balance de masa</t>
  </si>
  <si>
    <r>
      <t xml:space="preserve">Balance de </t>
    </r>
    <r>
      <rPr>
        <b/>
        <sz val="11"/>
        <color theme="1"/>
        <rFont val="Calibri"/>
        <family val="2"/>
      </rPr>
      <t>α-amilasa malta mojada</t>
    </r>
  </si>
  <si>
    <r>
      <t xml:space="preserve">Balance de </t>
    </r>
    <r>
      <rPr>
        <b/>
        <sz val="11"/>
        <color theme="1"/>
        <rFont val="Calibri"/>
        <family val="2"/>
      </rPr>
      <t>α-amilasa fase líquida</t>
    </r>
  </si>
  <si>
    <r>
      <t>Balance de β</t>
    </r>
    <r>
      <rPr>
        <b/>
        <sz val="11"/>
        <color theme="1"/>
        <rFont val="Calibri"/>
        <family val="2"/>
      </rPr>
      <t>-amilasa malta mojada</t>
    </r>
  </si>
  <si>
    <r>
      <t>Balance de β</t>
    </r>
    <r>
      <rPr>
        <b/>
        <sz val="11"/>
        <color theme="1"/>
        <rFont val="Calibri"/>
        <family val="2"/>
      </rPr>
      <t>-amilasa fase líquida</t>
    </r>
  </si>
  <si>
    <t>Balance de almidón</t>
  </si>
  <si>
    <t>Balance de glucosa</t>
  </si>
  <si>
    <t>Balance de dextrina</t>
  </si>
  <si>
    <t>Balance de maltosa</t>
  </si>
  <si>
    <t>Balance de maltotriosa</t>
  </si>
  <si>
    <t>Balance de dextrina limite</t>
  </si>
  <si>
    <t>Ecuación de Arrhenius cálculo constantes cinéticas</t>
  </si>
  <si>
    <t xml:space="preserve">Condiciones iniciales </t>
  </si>
  <si>
    <t>Concentración inicial glucosa</t>
  </si>
  <si>
    <t>Concentración inicial dextrina</t>
  </si>
  <si>
    <t>Concentración inicial de maltosa</t>
  </si>
  <si>
    <t>Concentración de Maltotriosa</t>
  </si>
  <si>
    <t>Actividad inicial enzimática α-amilasa fase líquida</t>
  </si>
  <si>
    <r>
      <t xml:space="preserve">Actividad inicial enzimática </t>
    </r>
    <r>
      <rPr>
        <sz val="11"/>
        <color theme="1"/>
        <rFont val="Calibri"/>
        <family val="2"/>
      </rPr>
      <t>β</t>
    </r>
    <r>
      <rPr>
        <sz val="11"/>
        <color theme="1"/>
        <rFont val="Calibri"/>
        <family val="2"/>
        <scheme val="minor"/>
      </rPr>
      <t>-amilasa fase líquida</t>
    </r>
  </si>
  <si>
    <t>x1(0)</t>
  </si>
  <si>
    <t>x2(0)</t>
  </si>
  <si>
    <t>x3(0)</t>
  </si>
  <si>
    <t>x4(0)</t>
  </si>
  <si>
    <t>x5(0)</t>
  </si>
  <si>
    <t>x6(0)</t>
  </si>
  <si>
    <t>α(0)</t>
  </si>
  <si>
    <t>β(0)</t>
  </si>
  <si>
    <t>Volumen de agua entrada</t>
  </si>
  <si>
    <t>Masa de almidón</t>
  </si>
  <si>
    <t>Densidad del Mosto</t>
  </si>
  <si>
    <t xml:space="preserve">Volumen desplazado de agua </t>
  </si>
  <si>
    <t>Concentración inicial de almidón</t>
  </si>
  <si>
    <t>Masa de malta</t>
  </si>
  <si>
    <t>Concentración salida almidón</t>
  </si>
  <si>
    <t>Concentración de salida glucosa</t>
  </si>
  <si>
    <t>Concentración de salida maltosa</t>
  </si>
  <si>
    <t>Concentración de salida maltotriosa</t>
  </si>
  <si>
    <t>Concentración de salida dextrina + dextrina limite</t>
  </si>
  <si>
    <t>Tiempo de maceración</t>
  </si>
  <si>
    <t>Vagua</t>
  </si>
  <si>
    <t>Ma</t>
  </si>
  <si>
    <t>Vg</t>
  </si>
  <si>
    <t>x1(tf)</t>
  </si>
  <si>
    <t>x2(tf)</t>
  </si>
  <si>
    <t>x4(tf)</t>
  </si>
  <si>
    <t>x3(tf)</t>
  </si>
  <si>
    <t>x5(tf)</t>
  </si>
  <si>
    <t>Vh</t>
  </si>
  <si>
    <r>
      <t xml:space="preserve">Máxima concentración de </t>
    </r>
    <r>
      <rPr>
        <sz val="11"/>
        <color theme="1"/>
        <rFont val="Calibri"/>
        <family val="2"/>
      </rPr>
      <t>α amilasa en la fase líquida</t>
    </r>
  </si>
  <si>
    <r>
      <t xml:space="preserve">Máxima concentración de </t>
    </r>
    <r>
      <rPr>
        <sz val="11"/>
        <color theme="1"/>
        <rFont val="Calibri"/>
        <family val="2"/>
      </rPr>
      <t>β amilasa en la fase líquida</t>
    </r>
  </si>
  <si>
    <t>αo(0)</t>
  </si>
  <si>
    <t>βo(0)</t>
  </si>
  <si>
    <t>Concentración inicial actividad enzimática  α-amilasa malta húmeda</t>
  </si>
  <si>
    <t>Concentración inicial actividad enzimática β-amilasa malta húmeda</t>
  </si>
  <si>
    <t>Densidad del filtrado Ambar Ale</t>
  </si>
  <si>
    <t>Densidad del filtrado Golden Ale</t>
  </si>
  <si>
    <t>Balance de Masa global</t>
  </si>
  <si>
    <t>Balance de Masa especie</t>
  </si>
  <si>
    <t>Masa entrada [kg]</t>
  </si>
  <si>
    <t>Masa salida [kg]</t>
  </si>
  <si>
    <t>almidón</t>
  </si>
  <si>
    <t>Azúcares fermentables</t>
  </si>
  <si>
    <t>Columna2</t>
  </si>
  <si>
    <t>Columna3</t>
  </si>
  <si>
    <t>Flujos desarrollados en un tubo circular con  temperatura de pared constante |Re&lt;2100| Nussel = 3,656</t>
  </si>
  <si>
    <t>[2] https://www.themadfermentationist.com/2010/05/papaya-citra.html</t>
  </si>
  <si>
    <t>[1] https://www.cerveza-artesanal.co/cerveza-ale-con-uvas-maltas-belgian-pilsner-wheat-2-row-lupulos-centennial-y-fuggles/#more-778</t>
  </si>
  <si>
    <t>Papaya</t>
  </si>
  <si>
    <t>Uva</t>
  </si>
  <si>
    <t>Relación de kilos de fruta por Litros de cerveza</t>
  </si>
  <si>
    <t>Volumen inicial</t>
  </si>
  <si>
    <t>producidos</t>
  </si>
  <si>
    <t xml:space="preserve">este es un supuesto fuerte, sin embargo se espera que el error no influya en gran medida el volumen final de cerveza </t>
  </si>
  <si>
    <t xml:space="preserve">, por lo tanto al retirar la cerveza de la maduración se tiene la misma cantidad de cerveza y fruta, solo hubo </t>
  </si>
  <si>
    <t>La fruta añadida se encuentra saturada de agua, por lo tanto esta no absorbe más agua/mosto ni lo pierde</t>
  </si>
  <si>
    <t>Necesidad del aire</t>
  </si>
  <si>
    <t>7 (cocción)</t>
  </si>
  <si>
    <t>Calor necesario para el periodo 3</t>
  </si>
  <si>
    <t>Calor necesario para el periodo 4</t>
  </si>
  <si>
    <t>Calor necesario para el periodo 5</t>
  </si>
  <si>
    <t>Calor necesario para el periodo 6</t>
  </si>
  <si>
    <t>Qmac,3</t>
  </si>
  <si>
    <t>Qmac,4</t>
  </si>
  <si>
    <t>Qmac,5</t>
  </si>
  <si>
    <t>Qmac,6</t>
  </si>
  <si>
    <t>Tv,out,mac3</t>
  </si>
  <si>
    <t>Tv,out,mac4</t>
  </si>
  <si>
    <t>Tv,out,mac5</t>
  </si>
  <si>
    <t>Tv,out,mac6</t>
  </si>
  <si>
    <t>Temperatura del vapor de salida3</t>
  </si>
  <si>
    <t>Temperatura del vapor de salida4</t>
  </si>
  <si>
    <t>Temperatura del vapor de salida5</t>
  </si>
  <si>
    <t>Temperatura del vapor de salida6</t>
  </si>
  <si>
    <t xml:space="preserve">Temperatura del vapor saliendo de la caldera </t>
  </si>
  <si>
    <t>Tv,in,cal,4</t>
  </si>
  <si>
    <t>Tv,in,cal,5</t>
  </si>
  <si>
    <t>Tv,in,cal,6</t>
  </si>
  <si>
    <t>Tv,in,cal,cocc</t>
  </si>
  <si>
    <t>Temperatrua del vapor entrando a la caldera periodo3</t>
  </si>
  <si>
    <t>Temperatrua del vapor entrando a la caldera periodo5</t>
  </si>
  <si>
    <t>Temperatrua del vapor entrando a la caldera periodo6</t>
  </si>
  <si>
    <t>Qcal,cocc</t>
  </si>
  <si>
    <t>Calor necesario para calentar el vapor periodo 3</t>
  </si>
  <si>
    <t>Calor necesario para calentar el vapor periodo 4</t>
  </si>
  <si>
    <t>Calor necesario para calentar el vapor periodo 5</t>
  </si>
  <si>
    <t>Calor necesario para calentar el vapor periodo 6</t>
  </si>
  <si>
    <t>Qcal,4</t>
  </si>
  <si>
    <t>Qcal,5</t>
  </si>
  <si>
    <t>Qcal,6</t>
  </si>
  <si>
    <t>Tv,in,cocc = Tv,out,mac * ᵟ</t>
  </si>
  <si>
    <t>coccion</t>
  </si>
  <si>
    <t>Volumen Mosto Ambar</t>
  </si>
  <si>
    <t>Masa de Mosto</t>
  </si>
  <si>
    <t>Volumen Mosto Golden</t>
  </si>
  <si>
    <t xml:space="preserve">Tiempo </t>
  </si>
  <si>
    <t>Se despeja la ecuación anterior en funcion de la dosis de cloruro férrico,usando una remoción del 90% de arsenico, se calculo fuera del excel debido a su compleja estructura.</t>
  </si>
  <si>
    <t xml:space="preserve">[2] Fernández Acuña, Sebastian Ignacio, TRATAMIENTO Y DISPOSICIÓN DE AGUAS RESIDUALES DE PLANTAS DE TRATAMIENTO DE AGUA POTABLE EN CHILE. Trabajo para optar al título de Ingeniero civil . Santiago. Universidad de Chile, FCFM. 2015. P21 y P30 </t>
  </si>
  <si>
    <t>[1] Chavarro Rodríguez, Daniel Alfonso. DISEÑO DE UNA PLANTA DE TRATAMIENTO DE AGUA POTABLE DE 2 LTS/S PARA UNA POBLACION DE 750 HABITANTES. Bogotá, Universidad Militar Nueva Granda, Especialización en planeación y manejo integral de los recursos naturales. 2014. Pag 3</t>
  </si>
  <si>
    <t>Coagulante</t>
  </si>
  <si>
    <t>Coagulante utilizado</t>
  </si>
  <si>
    <t>Coagulante utlizado</t>
  </si>
  <si>
    <t>𝐹(ℎ,𝑖𝑛)</t>
  </si>
  <si>
    <t>Balance floculante Imperial Stout</t>
  </si>
  <si>
    <t>[cm]</t>
  </si>
  <si>
    <t>Lr</t>
  </si>
  <si>
    <t>Longitud de la rampa</t>
  </si>
  <si>
    <t>Grados</t>
  </si>
  <si>
    <t>Alfa</t>
  </si>
  <si>
    <t>Angulo de inclinación de la rampa</t>
  </si>
  <si>
    <t>hr</t>
  </si>
  <si>
    <t>Altura de la rampa</t>
  </si>
  <si>
    <t>Ancho del vertedero</t>
  </si>
  <si>
    <t>Lj</t>
  </si>
  <si>
    <t>Longitud del resalto</t>
  </si>
  <si>
    <t>Bc</t>
  </si>
  <si>
    <t>Ancho de la canaleta</t>
  </si>
  <si>
    <t>P</t>
  </si>
  <si>
    <t>Ancho de la entrada de la transición</t>
  </si>
  <si>
    <t>Longitud de la transición de la entrada</t>
  </si>
  <si>
    <t>Altura estándar de la rampa de canaleta</t>
  </si>
  <si>
    <t>K</t>
  </si>
  <si>
    <t>Diferencia de altura del canal aguas arriba y aguas abajo de la canaleta</t>
  </si>
  <si>
    <t>Longitud de canal en la ampliación después de la garganta de la canaleta</t>
  </si>
  <si>
    <t>F</t>
  </si>
  <si>
    <t>Longitud estándar de garganta canaleta</t>
  </si>
  <si>
    <t>E</t>
  </si>
  <si>
    <t>Profundidad pared lateral de canaleta</t>
  </si>
  <si>
    <t>Ancho de canal antes de la canaleta</t>
  </si>
  <si>
    <t>C</t>
  </si>
  <si>
    <t>Ancho de canal después de la canaleta</t>
  </si>
  <si>
    <t>B</t>
  </si>
  <si>
    <t>Longitud canal en reducción antes de garganta,</t>
  </si>
  <si>
    <t>2A/3</t>
  </si>
  <si>
    <t>Localización del piezómetro en la pared de la canaleta para medir caudal</t>
  </si>
  <si>
    <t xml:space="preserve">A </t>
  </si>
  <si>
    <t>Longitud inclinada canal en reducción antes de garganta</t>
  </si>
  <si>
    <t>Ancho garganta de la canaleta</t>
  </si>
  <si>
    <t>[1] Chavarro Rodríguez, Daniel Alfonso. DISEÑO DE UNA PLANTA DE TRATAMIENTO DE AGUA POTABLE DE 2 LTS/S PARA UNA POBLACION DE 750 HABITANTES. Bogotá, Universidad Militar Nueva Granda, Especialización en planeación y manejo integral de los recursos naturales. 2014. Pag 9</t>
  </si>
  <si>
    <t>Floculante</t>
  </si>
  <si>
    <t xml:space="preserve">Floculante utilizado </t>
  </si>
  <si>
    <t>Se añade la misma cantidad de floculante que de coagulante</t>
  </si>
  <si>
    <t>Flo</t>
  </si>
  <si>
    <t>Lt</t>
  </si>
  <si>
    <t xml:space="preserve">Longitud total </t>
  </si>
  <si>
    <t xml:space="preserve">Ancho total </t>
  </si>
  <si>
    <t>Nc</t>
  </si>
  <si>
    <t>Numero de compartimientos</t>
  </si>
  <si>
    <t>Lc</t>
  </si>
  <si>
    <t>Longitud de cada compartimiento</t>
  </si>
  <si>
    <t>Ac</t>
  </si>
  <si>
    <t>Ancho de cada compartimiento</t>
  </si>
  <si>
    <t>Au</t>
  </si>
  <si>
    <t>Altura Floculador</t>
  </si>
  <si>
    <t>Diámetro</t>
  </si>
  <si>
    <t>Altura</t>
  </si>
  <si>
    <t>Largo</t>
  </si>
  <si>
    <t>Capacidad</t>
  </si>
  <si>
    <t>[l]</t>
  </si>
  <si>
    <t>Concentración de Cloro</t>
  </si>
  <si>
    <t>Cc</t>
  </si>
  <si>
    <t>Para agregar cloro se utiliza 0,001 litros cada 5 litros de agua</t>
  </si>
  <si>
    <t>Cloro utilizado</t>
  </si>
  <si>
    <t>Cl</t>
  </si>
  <si>
    <t>Cloro utlizado</t>
  </si>
  <si>
    <t>[1] El Surtidor S.A. México. [en línea] &lt;https://www.surtidor.com/tanque-estacionario-tatsa-horizontal-180-litros-blanco-16029913040.html&gt; [Fecha de consulta : 03 noviembre]</t>
  </si>
  <si>
    <t>Cloración</t>
  </si>
  <si>
    <t>Coagulación</t>
  </si>
  <si>
    <t>Floculador</t>
  </si>
  <si>
    <t>Sedimentador</t>
  </si>
  <si>
    <t>Filtro Lecho mixto</t>
  </si>
  <si>
    <t>Cloro</t>
  </si>
  <si>
    <t>[kg/batch]</t>
  </si>
  <si>
    <t>Caudal perdido durante el proceso [7]</t>
  </si>
  <si>
    <t>F(h,in)</t>
  </si>
  <si>
    <t>Caudal proceso considerando la perdida (2,9%)</t>
  </si>
  <si>
    <t>F(h,out)</t>
  </si>
  <si>
    <t>F transición</t>
  </si>
  <si>
    <t>[Gr/L]</t>
  </si>
  <si>
    <t>FLUJOS</t>
  </si>
  <si>
    <t>CONDICIONES DE OPERACIÓN</t>
  </si>
  <si>
    <t>Agua IC1</t>
  </si>
  <si>
    <t>Agua IC2</t>
  </si>
  <si>
    <t>[2]TRATAMIENTO Y DESINFECCIÓN DE
AGUA PARA CONSUMO HUMANO
POR MEDIO DE CLORO. Ministerio de salud pública y asistencia social. Republica Guatemala. 2006. Pag 6</t>
  </si>
  <si>
    <t>Altura de cada filtro</t>
  </si>
  <si>
    <t>17 m^3 50 minutso</t>
  </si>
  <si>
    <t>Vapor de agua</t>
  </si>
  <si>
    <t>Flujo de Vapor[ks/s]</t>
  </si>
  <si>
    <t>Masa de vapor total [kg]</t>
  </si>
  <si>
    <t>Temperatura [°C]</t>
  </si>
  <si>
    <t>Balance Nominal[Kg/Batch]</t>
  </si>
  <si>
    <t>?</t>
  </si>
  <si>
    <t>0?</t>
  </si>
  <si>
    <t>TAG</t>
  </si>
  <si>
    <t>DESCRIPCIÓN</t>
  </si>
  <si>
    <t>CANTIDAD</t>
  </si>
  <si>
    <t>DIMENSIÓN CARACTERÍSTICA</t>
  </si>
  <si>
    <t>UNIDAD</t>
  </si>
  <si>
    <t>VALOR</t>
  </si>
  <si>
    <t>CA01</t>
  </si>
  <si>
    <t>EF01</t>
  </si>
  <si>
    <t>MA01</t>
  </si>
  <si>
    <t>SR01</t>
  </si>
  <si>
    <t>IP01</t>
  </si>
  <si>
    <t>FP01</t>
  </si>
  <si>
    <t>FM01</t>
  </si>
  <si>
    <t>WP01</t>
  </si>
  <si>
    <t>FL01</t>
  </si>
  <si>
    <t>SA01</t>
  </si>
  <si>
    <t>TC01</t>
  </si>
  <si>
    <t>CP01</t>
  </si>
  <si>
    <t>TA01</t>
  </si>
  <si>
    <t>TA02</t>
  </si>
  <si>
    <t>IP02</t>
  </si>
  <si>
    <t>TM01</t>
  </si>
  <si>
    <t>Tanque de cloración</t>
  </si>
  <si>
    <t>Canaleta de Parshall</t>
  </si>
  <si>
    <t>Flitro lecho</t>
  </si>
  <si>
    <t>Tanque almacenamiento</t>
  </si>
  <si>
    <t>Macerador</t>
  </si>
  <si>
    <t>Intercambiador tipo placas</t>
  </si>
  <si>
    <t>Intercambiador tipo placa</t>
  </si>
  <si>
    <t>Secador</t>
  </si>
  <si>
    <t>Agua liquida</t>
  </si>
  <si>
    <t>Agua Evaporada</t>
  </si>
  <si>
    <t>Agua Líquida</t>
  </si>
  <si>
    <t>Magnitud [Kg]</t>
  </si>
  <si>
    <t>Magnitud [kg]</t>
  </si>
  <si>
    <t>Resumen Sout</t>
  </si>
  <si>
    <t>Resumen Ambar</t>
  </si>
  <si>
    <t xml:space="preserve">Resumen Golden </t>
  </si>
  <si>
    <t>Diferencia</t>
  </si>
  <si>
    <t>Se considera una concentración inicial de azucar de 0 g/L</t>
  </si>
  <si>
    <t xml:space="preserve">Refencias </t>
  </si>
  <si>
    <t>[2] A model for the prediction of fermentable sugar concentrations during mashing. Tatu Koljonen, Jari J. Jamalainen, Katharina Sjoholm, Kristi Pietila. Journal of food engineering. 1994.</t>
  </si>
  <si>
    <t>[3] G.P.Fox. Chemical Composition in Barley Grains and Malt Quality. University of Queensland, Australia,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</si>
</sst>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0"/>
    <numFmt numFmtId="166" formatCode="0.00000"/>
    <numFmt numFmtId="167" formatCode="0.0%"/>
    <numFmt numFmtId="168" formatCode="0.0"/>
  </numFmts>
  <fonts count="17" x14ac:knownFonts="1">
    <font>
      <sz val="11"/>
      <color theme="1"/>
      <name val="Calibri"/>
      <family val="2"/>
      <scheme val="minor"/>
    </font>
    <font>
      <b/>
      <sz val="11"/>
      <color theme="1"/>
      <name val="Calibri"/>
      <family val="2"/>
      <scheme val="minor"/>
    </font>
    <font>
      <sz val="8"/>
      <color theme="1"/>
      <name val="Calibri"/>
      <family val="2"/>
      <scheme val="minor"/>
    </font>
    <font>
      <sz val="11"/>
      <color theme="1"/>
      <name val="Calibri"/>
      <family val="2"/>
    </font>
    <font>
      <sz val="8"/>
      <color theme="1"/>
      <name val="Calibri"/>
      <family val="2"/>
    </font>
    <font>
      <sz val="12"/>
      <color rgb="FF000000"/>
      <name val="Calibri"/>
      <family val="2"/>
    </font>
    <font>
      <sz val="12"/>
      <name val="Calibri"/>
      <family val="2"/>
    </font>
    <font>
      <b/>
      <sz val="8"/>
      <color theme="1"/>
      <name val="Calibri"/>
      <family val="2"/>
      <scheme val="minor"/>
    </font>
    <font>
      <i/>
      <sz val="11"/>
      <color theme="1"/>
      <name val="Calibri"/>
      <family val="2"/>
      <scheme val="minor"/>
    </font>
    <font>
      <u/>
      <sz val="11"/>
      <color theme="10"/>
      <name val="Calibri"/>
      <family val="2"/>
      <scheme val="minor"/>
    </font>
    <font>
      <b/>
      <sz val="11"/>
      <color theme="0"/>
      <name val="Calibri"/>
      <family val="2"/>
      <scheme val="minor"/>
    </font>
    <font>
      <b/>
      <sz val="16"/>
      <color theme="1"/>
      <name val="Calibri"/>
      <family val="2"/>
      <scheme val="minor"/>
    </font>
    <font>
      <b/>
      <sz val="18"/>
      <color theme="1"/>
      <name val="Calibri"/>
      <family val="2"/>
      <scheme val="minor"/>
    </font>
    <font>
      <sz val="16"/>
      <color theme="1"/>
      <name val="Calibri"/>
      <family val="2"/>
      <scheme val="minor"/>
    </font>
    <font>
      <sz val="18"/>
      <color theme="1"/>
      <name val="Calibri"/>
      <family val="2"/>
      <scheme val="minor"/>
    </font>
    <font>
      <sz val="24"/>
      <color theme="1"/>
      <name val="Calibri"/>
      <family val="2"/>
      <scheme val="minor"/>
    </font>
    <font>
      <b/>
      <sz val="11"/>
      <color theme="1"/>
      <name val="Calibri"/>
      <family val="2"/>
    </font>
  </fonts>
  <fills count="35">
    <fill>
      <patternFill patternType="none"/>
    </fill>
    <fill>
      <patternFill patternType="gray125"/>
    </fill>
    <fill>
      <patternFill patternType="solid">
        <fgColor theme="9"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0"/>
        <bgColor indexed="64"/>
      </patternFill>
    </fill>
    <fill>
      <patternFill patternType="solid">
        <fgColor theme="4"/>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7"/>
        <bgColor indexed="64"/>
      </patternFill>
    </fill>
    <fill>
      <patternFill patternType="solid">
        <fgColor theme="5"/>
        <bgColor indexed="64"/>
      </patternFill>
    </fill>
    <fill>
      <patternFill patternType="solid">
        <fgColor rgb="FFCC0066"/>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5" tint="-0.249977111117893"/>
        <bgColor indexed="64"/>
      </patternFill>
    </fill>
    <fill>
      <patternFill patternType="solid">
        <fgColor theme="4" tint="0.79998168889431442"/>
        <bgColor theme="4" tint="0.79998168889431442"/>
      </patternFill>
    </fill>
    <fill>
      <patternFill patternType="solid">
        <fgColor theme="7" tint="0.79998168889431442"/>
        <bgColor theme="7" tint="0.79998168889431442"/>
      </patternFill>
    </fill>
    <fill>
      <patternFill patternType="solid">
        <fgColor theme="5" tint="0.79998168889431442"/>
        <bgColor theme="5" tint="0.79998168889431442"/>
      </patternFill>
    </fill>
    <fill>
      <patternFill patternType="solid">
        <fgColor theme="0"/>
        <bgColor theme="4"/>
      </patternFill>
    </fill>
    <fill>
      <patternFill patternType="solid">
        <fgColor rgb="FFFFFF00"/>
        <bgColor indexed="64"/>
      </patternFill>
    </fill>
    <fill>
      <patternFill patternType="solid">
        <fgColor theme="1"/>
        <bgColor indexed="64"/>
      </patternFill>
    </fill>
    <fill>
      <patternFill patternType="solid">
        <fgColor theme="6" tint="0.59999389629810485"/>
        <bgColor indexed="64"/>
      </patternFill>
    </fill>
    <fill>
      <patternFill patternType="solid">
        <fgColor theme="9"/>
        <bgColor indexed="64"/>
      </patternFill>
    </fill>
    <fill>
      <patternFill patternType="solid">
        <fgColor theme="2" tint="-9.9978637043366805E-2"/>
        <bgColor indexed="64"/>
      </patternFill>
    </fill>
    <fill>
      <patternFill patternType="solid">
        <fgColor theme="8"/>
        <bgColor indexed="64"/>
      </patternFill>
    </fill>
    <fill>
      <patternFill patternType="solid">
        <fgColor theme="5" tint="0.79998168889431442"/>
        <bgColor indexed="64"/>
      </patternFill>
    </fill>
    <fill>
      <patternFill patternType="solid">
        <fgColor theme="4"/>
        <bgColor theme="4"/>
      </patternFill>
    </fill>
    <fill>
      <patternFill patternType="solid">
        <fgColor theme="5"/>
        <bgColor theme="5"/>
      </patternFill>
    </fill>
    <fill>
      <patternFill patternType="solid">
        <fgColor theme="7"/>
        <bgColor theme="7"/>
      </patternFill>
    </fill>
    <fill>
      <patternFill patternType="solid">
        <fgColor theme="0" tint="-0.14999847407452621"/>
        <bgColor theme="0" tint="-0.14999847407452621"/>
      </patternFill>
    </fill>
    <fill>
      <patternFill patternType="solid">
        <fgColor theme="1"/>
        <bgColor theme="1"/>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auto="1"/>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4" tint="0.39997558519241921"/>
      </left>
      <right/>
      <top style="thin">
        <color theme="4" tint="0.39997558519241921"/>
      </top>
      <bottom style="thin">
        <color theme="4" tint="0.39997558519241921"/>
      </bottom>
      <diagonal/>
    </border>
    <border>
      <left style="thin">
        <color theme="5" tint="0.39997558519241921"/>
      </left>
      <right/>
      <top style="thin">
        <color theme="5" tint="0.39997558519241921"/>
      </top>
      <bottom style="thin">
        <color theme="5" tint="0.39997558519241921"/>
      </bottom>
      <diagonal/>
    </border>
    <border>
      <left/>
      <right/>
      <top style="thin">
        <color theme="5" tint="0.39997558519241921"/>
      </top>
      <bottom style="thin">
        <color theme="5" tint="0.39997558519241921"/>
      </bottom>
      <diagonal/>
    </border>
    <border>
      <left style="thin">
        <color theme="7" tint="0.39997558519241921"/>
      </left>
      <right/>
      <top style="thin">
        <color theme="7" tint="0.39997558519241921"/>
      </top>
      <bottom style="thin">
        <color theme="7" tint="0.39997558519241921"/>
      </bottom>
      <diagonal/>
    </border>
    <border>
      <left/>
      <right/>
      <top style="thin">
        <color theme="7" tint="0.39997558519241921"/>
      </top>
      <bottom style="thin">
        <color theme="7" tint="0.39997558519241921"/>
      </bottom>
      <diagonal/>
    </border>
    <border>
      <left style="thin">
        <color indexed="64"/>
      </left>
      <right style="thin">
        <color theme="1"/>
      </right>
      <top style="thin">
        <color indexed="64"/>
      </top>
      <bottom style="thin">
        <color indexed="64"/>
      </bottom>
      <diagonal/>
    </border>
    <border>
      <left/>
      <right/>
      <top style="thin">
        <color theme="4" tint="0.39997558519241921"/>
      </top>
      <bottom style="thin">
        <color theme="4" tint="0.39997558519241921"/>
      </bottom>
      <diagonal/>
    </border>
    <border>
      <left/>
      <right/>
      <top style="thin">
        <color rgb="FFFFFF00"/>
      </top>
      <bottom/>
      <diagonal/>
    </border>
    <border>
      <left style="thin">
        <color rgb="FFFFFF00"/>
      </left>
      <right/>
      <top/>
      <bottom/>
      <diagonal/>
    </border>
    <border>
      <left/>
      <right/>
      <top style="thin">
        <color rgb="FFFFFF00"/>
      </top>
      <bottom style="thin">
        <color rgb="FFFFFF00"/>
      </bottom>
      <diagonal/>
    </border>
    <border>
      <left style="thin">
        <color rgb="FFFFFF00"/>
      </left>
      <right/>
      <top style="thin">
        <color rgb="FFFFFF00"/>
      </top>
      <bottom style="thin">
        <color rgb="FFFFFF00"/>
      </bottom>
      <diagonal/>
    </border>
    <border>
      <left/>
      <right style="thin">
        <color rgb="FFFFFF00"/>
      </right>
      <top style="thin">
        <color theme="7" tint="0.39997558519241921"/>
      </top>
      <bottom style="thin">
        <color rgb="FFFFFF00"/>
      </bottom>
      <diagonal/>
    </border>
    <border>
      <left/>
      <right/>
      <top style="thin">
        <color theme="7" tint="0.39997558519241921"/>
      </top>
      <bottom/>
      <diagonal/>
    </border>
    <border>
      <left/>
      <right/>
      <top style="thin">
        <color theme="7" tint="0.39997558519241921"/>
      </top>
      <bottom style="thin">
        <color rgb="FFFFFF00"/>
      </bottom>
      <diagonal/>
    </border>
    <border>
      <left/>
      <right/>
      <top style="thin">
        <color rgb="FFFF0000"/>
      </top>
      <bottom style="thin">
        <color theme="7" tint="0.39997558519241921"/>
      </bottom>
      <diagonal/>
    </border>
    <border>
      <left/>
      <right style="thin">
        <color rgb="FFFF0000"/>
      </right>
      <top style="thin">
        <color theme="5" tint="0.39997558519241921"/>
      </top>
      <bottom style="thin">
        <color rgb="FFFF0000"/>
      </bottom>
      <diagonal/>
    </border>
    <border>
      <left/>
      <right/>
      <top style="thin">
        <color theme="5" tint="0.39997558519241921"/>
      </top>
      <bottom style="thin">
        <color rgb="FFFF0000"/>
      </bottom>
      <diagonal/>
    </border>
    <border>
      <left/>
      <right/>
      <top style="thin">
        <color theme="5" tint="0.39997558519241921"/>
      </top>
      <bottom/>
      <diagonal/>
    </border>
    <border>
      <left/>
      <right/>
      <top style="thin">
        <color theme="4" tint="0.39997558519241921"/>
      </top>
      <bottom/>
      <diagonal/>
    </border>
    <border>
      <left style="thin">
        <color rgb="FFFF0000"/>
      </left>
      <right/>
      <top style="thin">
        <color theme="5" tint="0.39997558519241921"/>
      </top>
      <bottom style="thin">
        <color theme="5" tint="0.39997558519241921"/>
      </bottom>
      <diagonal/>
    </border>
    <border>
      <left/>
      <right style="thin">
        <color rgb="FFFFFF00"/>
      </right>
      <top/>
      <bottom/>
      <diagonal/>
    </border>
    <border>
      <left/>
      <right style="thin">
        <color rgb="FFFF0000"/>
      </right>
      <top/>
      <bottom/>
      <diagonal/>
    </border>
    <border>
      <left style="thin">
        <color rgb="FFFF0000"/>
      </left>
      <right/>
      <top/>
      <bottom/>
      <diagonal/>
    </border>
  </borders>
  <cellStyleXfs count="3">
    <xf numFmtId="0" fontId="0" fillId="0" borderId="0"/>
    <xf numFmtId="0" fontId="5" fillId="0" borderId="0"/>
    <xf numFmtId="0" fontId="9" fillId="0" borderId="0" applyNumberFormat="0" applyFill="0" applyBorder="0" applyAlignment="0" applyProtection="0"/>
  </cellStyleXfs>
  <cellXfs count="407">
    <xf numFmtId="0" fontId="0" fillId="0" borderId="0" xfId="0"/>
    <xf numFmtId="0" fontId="0" fillId="0" borderId="0" xfId="0" applyAlignment="1">
      <alignment horizontal="center"/>
    </xf>
    <xf numFmtId="0" fontId="1" fillId="0" borderId="0" xfId="0" applyFont="1" applyAlignment="1">
      <alignment horizontal="center"/>
    </xf>
    <xf numFmtId="0" fontId="0" fillId="0" borderId="0" xfId="0" applyAlignment="1"/>
    <xf numFmtId="0" fontId="0" fillId="0" borderId="1" xfId="0" applyBorder="1"/>
    <xf numFmtId="0" fontId="3" fillId="0" borderId="1" xfId="0" applyFont="1" applyBorder="1" applyAlignment="1">
      <alignment horizontal="center"/>
    </xf>
    <xf numFmtId="0" fontId="0" fillId="0" borderId="1" xfId="0" quotePrefix="1" applyBorder="1" applyAlignment="1">
      <alignment horizontal="center"/>
    </xf>
    <xf numFmtId="0" fontId="0" fillId="0" borderId="1" xfId="0" applyFill="1" applyBorder="1" applyAlignment="1">
      <alignment horizontal="center"/>
    </xf>
    <xf numFmtId="0" fontId="0" fillId="0" borderId="0" xfId="0" quotePrefix="1" applyBorder="1" applyAlignment="1">
      <alignment horizontal="center"/>
    </xf>
    <xf numFmtId="0" fontId="0" fillId="0" borderId="0" xfId="0" applyBorder="1" applyAlignment="1">
      <alignment horizontal="center"/>
    </xf>
    <xf numFmtId="0" fontId="3" fillId="0" borderId="5" xfId="0" quotePrefix="1" applyFont="1" applyBorder="1" applyAlignment="1">
      <alignment horizontal="center"/>
    </xf>
    <xf numFmtId="0" fontId="0" fillId="0" borderId="5" xfId="0" quotePrefix="1" applyBorder="1" applyAlignment="1">
      <alignment horizontal="center"/>
    </xf>
    <xf numFmtId="0" fontId="0" fillId="0" borderId="1" xfId="0" applyBorder="1" applyAlignment="1">
      <alignment horizontal="center"/>
    </xf>
    <xf numFmtId="0" fontId="0" fillId="0" borderId="1" xfId="0" applyFont="1" applyBorder="1" applyAlignment="1">
      <alignment horizontal="center"/>
    </xf>
    <xf numFmtId="0" fontId="0" fillId="0" borderId="0" xfId="0" applyAlignment="1">
      <alignment horizontal="center"/>
    </xf>
    <xf numFmtId="0" fontId="0" fillId="0" borderId="1"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xf numFmtId="0" fontId="1" fillId="0" borderId="0" xfId="0" applyFont="1"/>
    <xf numFmtId="0" fontId="0" fillId="0" borderId="0" xfId="0" applyBorder="1"/>
    <xf numFmtId="0" fontId="1" fillId="0" borderId="0" xfId="0" applyFont="1" applyBorder="1" applyAlignment="1">
      <alignment horizontal="center"/>
    </xf>
    <xf numFmtId="0" fontId="1" fillId="0" borderId="0" xfId="0" applyFont="1" applyBorder="1"/>
    <xf numFmtId="0" fontId="6" fillId="0" borderId="0" xfId="1" applyFont="1" applyBorder="1" applyAlignment="1">
      <alignment horizontal="left" vertical="center"/>
    </xf>
    <xf numFmtId="0" fontId="0" fillId="0" borderId="1" xfId="0" applyFont="1" applyFill="1" applyBorder="1" applyAlignment="1">
      <alignment horizontal="center"/>
    </xf>
    <xf numFmtId="0" fontId="0" fillId="0" borderId="8" xfId="0" applyFill="1" applyBorder="1" applyAlignment="1">
      <alignment horizontal="center"/>
    </xf>
    <xf numFmtId="0" fontId="3" fillId="0" borderId="0" xfId="0" quotePrefix="1" applyFont="1" applyBorder="1" applyAlignment="1">
      <alignment horizontal="center"/>
    </xf>
    <xf numFmtId="0" fontId="0" fillId="0" borderId="0" xfId="0" applyFill="1" applyBorder="1" applyAlignment="1">
      <alignment horizontal="center"/>
    </xf>
    <xf numFmtId="0" fontId="0" fillId="0" borderId="0" xfId="0" applyBorder="1" applyAlignment="1"/>
    <xf numFmtId="0" fontId="1" fillId="0" borderId="0" xfId="0" applyFont="1" applyFill="1" applyBorder="1" applyAlignment="1">
      <alignment horizontal="center"/>
    </xf>
    <xf numFmtId="0" fontId="1" fillId="0" borderId="0" xfId="0" applyFont="1" applyBorder="1" applyAlignment="1"/>
    <xf numFmtId="0" fontId="0" fillId="0" borderId="0" xfId="0" applyFont="1" applyBorder="1" applyAlignment="1"/>
    <xf numFmtId="0" fontId="0" fillId="0" borderId="0" xfId="0" applyAlignment="1">
      <alignment horizontal="center" vertical="center"/>
    </xf>
    <xf numFmtId="0" fontId="0" fillId="2" borderId="1" xfId="0" applyFill="1" applyBorder="1"/>
    <xf numFmtId="0" fontId="0" fillId="2" borderId="1" xfId="0" applyFill="1" applyBorder="1" applyAlignment="1">
      <alignment horizontal="center"/>
    </xf>
    <xf numFmtId="0" fontId="1" fillId="3" borderId="1" xfId="0" applyFont="1" applyFill="1" applyBorder="1"/>
    <xf numFmtId="0" fontId="0" fillId="4" borderId="1" xfId="0" applyFill="1" applyBorder="1"/>
    <xf numFmtId="0" fontId="0" fillId="0" borderId="0" xfId="0" applyAlignment="1">
      <alignment horizontal="right" vertical="center"/>
    </xf>
    <xf numFmtId="0" fontId="0" fillId="5" borderId="1" xfId="0" applyFill="1" applyBorder="1" applyAlignment="1">
      <alignment horizontal="center"/>
    </xf>
    <xf numFmtId="0" fontId="0" fillId="0" borderId="0" xfId="0" applyAlignment="1">
      <alignment horizontal="right"/>
    </xf>
    <xf numFmtId="0" fontId="0" fillId="0" borderId="9" xfId="0" applyBorder="1" applyAlignment="1">
      <alignment horizontal="center"/>
    </xf>
    <xf numFmtId="0" fontId="0" fillId="0" borderId="10" xfId="0" applyBorder="1" applyAlignment="1">
      <alignment horizontal="center"/>
    </xf>
    <xf numFmtId="0" fontId="0" fillId="0" borderId="10" xfId="0" applyBorder="1"/>
    <xf numFmtId="0" fontId="0" fillId="0" borderId="11" xfId="0" applyBorder="1" applyAlignment="1">
      <alignment horizontal="center"/>
    </xf>
    <xf numFmtId="0" fontId="0" fillId="0" borderId="8"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3" xfId="0" applyBorder="1"/>
    <xf numFmtId="0" fontId="0" fillId="0" borderId="4" xfId="0" quotePrefix="1" applyBorder="1" applyAlignment="1">
      <alignment horizontal="center"/>
    </xf>
    <xf numFmtId="0" fontId="0" fillId="0" borderId="1" xfId="0" applyBorder="1" applyAlignment="1">
      <alignment horizontal="center" wrapText="1"/>
    </xf>
    <xf numFmtId="0" fontId="0" fillId="6" borderId="1" xfId="0" applyFill="1" applyBorder="1"/>
    <xf numFmtId="0" fontId="0" fillId="7" borderId="1" xfId="0" applyFill="1" applyBorder="1" applyAlignment="1">
      <alignment horizontal="center"/>
    </xf>
    <xf numFmtId="0" fontId="0" fillId="7" borderId="4" xfId="0" applyFill="1" applyBorder="1" applyAlignment="1">
      <alignment horizontal="center" vertical="center"/>
    </xf>
    <xf numFmtId="0" fontId="0" fillId="0" borderId="4" xfId="0" applyBorder="1" applyAlignment="1">
      <alignment horizontal="center" vertical="center"/>
    </xf>
    <xf numFmtId="0" fontId="3" fillId="0" borderId="1" xfId="0" quotePrefix="1" applyFont="1" applyBorder="1" applyAlignment="1">
      <alignment horizontal="center"/>
    </xf>
    <xf numFmtId="0" fontId="3" fillId="0" borderId="4" xfId="0" quotePrefix="1" applyFont="1" applyBorder="1" applyAlignment="1">
      <alignment horizontal="center"/>
    </xf>
    <xf numFmtId="0" fontId="0" fillId="6" borderId="4" xfId="0" applyFill="1" applyBorder="1" applyAlignment="1">
      <alignment horizontal="center" vertical="center"/>
    </xf>
    <xf numFmtId="0" fontId="0" fillId="5" borderId="4" xfId="0" applyFill="1" applyBorder="1" applyAlignment="1">
      <alignment horizontal="center" vertical="center"/>
    </xf>
    <xf numFmtId="0" fontId="3" fillId="0" borderId="4" xfId="0" applyFont="1" applyBorder="1" applyAlignment="1">
      <alignment horizontal="center" vertical="center"/>
    </xf>
    <xf numFmtId="0" fontId="0" fillId="0" borderId="4" xfId="0" applyFill="1" applyBorder="1" applyAlignment="1">
      <alignment horizontal="center" vertical="center"/>
    </xf>
    <xf numFmtId="0" fontId="0" fillId="0" borderId="0" xfId="0" applyAlignment="1">
      <alignment horizontal="center"/>
    </xf>
    <xf numFmtId="0" fontId="0" fillId="0" borderId="6" xfId="0" applyBorder="1" applyAlignment="1">
      <alignment horizontal="center"/>
    </xf>
    <xf numFmtId="0" fontId="0" fillId="0" borderId="1" xfId="0" applyBorder="1" applyAlignment="1">
      <alignment horizontal="center"/>
    </xf>
    <xf numFmtId="0" fontId="1" fillId="0" borderId="0" xfId="0" applyFont="1" applyAlignment="1">
      <alignment horizontal="center"/>
    </xf>
    <xf numFmtId="0" fontId="0" fillId="0" borderId="0" xfId="0" applyBorder="1" applyAlignment="1">
      <alignment horizontal="center"/>
    </xf>
    <xf numFmtId="0" fontId="1" fillId="0" borderId="0" xfId="0" applyFont="1" applyBorder="1" applyAlignment="1">
      <alignment horizontal="center"/>
    </xf>
    <xf numFmtId="0" fontId="1" fillId="0" borderId="0" xfId="0" applyFont="1" applyAlignment="1">
      <alignment horizontal="center"/>
    </xf>
    <xf numFmtId="0" fontId="0" fillId="0" borderId="1" xfId="0" quotePrefix="1" applyFill="1" applyBorder="1" applyAlignment="1">
      <alignment horizontal="center"/>
    </xf>
    <xf numFmtId="0" fontId="0" fillId="0" borderId="1" xfId="0" quotePrefix="1" applyFont="1" applyBorder="1" applyAlignment="1">
      <alignment horizontal="center"/>
    </xf>
    <xf numFmtId="0" fontId="0" fillId="0" borderId="1" xfId="0" quotePrefix="1" applyFont="1" applyFill="1" applyBorder="1" applyAlignment="1">
      <alignment horizontal="center"/>
    </xf>
    <xf numFmtId="3" fontId="0" fillId="0" borderId="0" xfId="0" applyNumberFormat="1" applyBorder="1" applyAlignment="1">
      <alignment horizontal="center"/>
    </xf>
    <xf numFmtId="0" fontId="1" fillId="0" borderId="0" xfId="0" applyFont="1" applyAlignment="1">
      <alignment horizontal="center"/>
    </xf>
    <xf numFmtId="0" fontId="0" fillId="0" borderId="0" xfId="0" applyFont="1"/>
    <xf numFmtId="0" fontId="0" fillId="0" borderId="14" xfId="0" applyBorder="1"/>
    <xf numFmtId="0" fontId="0" fillId="0" borderId="4" xfId="0" applyBorder="1"/>
    <xf numFmtId="0" fontId="0" fillId="10" borderId="1" xfId="0" applyFill="1" applyBorder="1" applyAlignment="1">
      <alignment horizontal="center"/>
    </xf>
    <xf numFmtId="0" fontId="0" fillId="11" borderId="1" xfId="0" applyFill="1" applyBorder="1" applyAlignment="1">
      <alignment horizontal="center"/>
    </xf>
    <xf numFmtId="0" fontId="0" fillId="3" borderId="1" xfId="0" applyFill="1" applyBorder="1" applyAlignment="1">
      <alignment horizontal="center"/>
    </xf>
    <xf numFmtId="0" fontId="0" fillId="3" borderId="1" xfId="0" applyFill="1" applyBorder="1"/>
    <xf numFmtId="0" fontId="1" fillId="0" borderId="1" xfId="0" applyFont="1" applyBorder="1"/>
    <xf numFmtId="0" fontId="0" fillId="2" borderId="1" xfId="0" applyFont="1" applyFill="1" applyBorder="1" applyAlignment="1">
      <alignment horizontal="center"/>
    </xf>
    <xf numFmtId="0" fontId="0" fillId="0" borderId="1" xfId="0" applyNumberFormat="1" applyBorder="1" applyAlignment="1">
      <alignment horizontal="center"/>
    </xf>
    <xf numFmtId="0" fontId="0" fillId="0" borderId="8" xfId="0" applyBorder="1" applyAlignment="1">
      <alignment horizontal="center" vertical="center"/>
    </xf>
    <xf numFmtId="0" fontId="0" fillId="3" borderId="0" xfId="0" applyFill="1"/>
    <xf numFmtId="0" fontId="0" fillId="5" borderId="0" xfId="0" applyFill="1"/>
    <xf numFmtId="0" fontId="0" fillId="17" borderId="0" xfId="0" applyFill="1"/>
    <xf numFmtId="0" fontId="0" fillId="0" borderId="9" xfId="0" applyBorder="1"/>
    <xf numFmtId="0" fontId="2" fillId="0" borderId="1" xfId="0" applyFont="1" applyBorder="1" applyAlignment="1">
      <alignment horizontal="center"/>
    </xf>
    <xf numFmtId="0" fontId="0" fillId="0" borderId="0" xfId="0" applyBorder="1" applyAlignment="1">
      <alignment horizontal="center"/>
    </xf>
    <xf numFmtId="0" fontId="0" fillId="0" borderId="11" xfId="0" applyBorder="1"/>
    <xf numFmtId="0" fontId="0" fillId="0" borderId="0" xfId="0" applyAlignment="1">
      <alignment horizontal="center"/>
    </xf>
    <xf numFmtId="0" fontId="0" fillId="0" borderId="0" xfId="0" applyBorder="1" applyAlignment="1">
      <alignment horizontal="center"/>
    </xf>
    <xf numFmtId="0" fontId="0" fillId="0" borderId="0" xfId="0"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1" fillId="0" borderId="4"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1"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1" xfId="0" applyFont="1" applyBorder="1" applyAlignment="1">
      <alignment horizontal="center"/>
    </xf>
    <xf numFmtId="0" fontId="6" fillId="0" borderId="0" xfId="1" applyFont="1" applyBorder="1" applyAlignment="1">
      <alignment horizontal="left" vertical="center" wrapText="1"/>
    </xf>
    <xf numFmtId="0" fontId="1" fillId="0" borderId="0" xfId="0" applyFont="1" applyBorder="1" applyAlignment="1">
      <alignment horizontal="center"/>
    </xf>
    <xf numFmtId="165" fontId="0" fillId="0" borderId="1" xfId="0" applyNumberFormat="1" applyBorder="1" applyAlignment="1">
      <alignment horizontal="center"/>
    </xf>
    <xf numFmtId="164" fontId="0" fillId="0" borderId="1" xfId="0" applyNumberFormat="1" applyBorder="1" applyAlignment="1">
      <alignment horizontal="center"/>
    </xf>
    <xf numFmtId="2" fontId="0" fillId="0" borderId="1" xfId="0" applyNumberFormat="1" applyBorder="1" applyAlignment="1">
      <alignment horizontal="center"/>
    </xf>
    <xf numFmtId="0" fontId="0" fillId="19" borderId="1" xfId="0" applyFont="1" applyFill="1" applyBorder="1" applyAlignment="1">
      <alignment horizontal="center"/>
    </xf>
    <xf numFmtId="0" fontId="1" fillId="0" borderId="9" xfId="0" applyFont="1" applyBorder="1" applyAlignment="1">
      <alignment horizontal="center"/>
    </xf>
    <xf numFmtId="0" fontId="0" fillId="0" borderId="14" xfId="0" applyBorder="1" applyAlignment="1">
      <alignment horizontal="center"/>
    </xf>
    <xf numFmtId="0" fontId="1" fillId="0" borderId="10" xfId="0" applyFont="1" applyBorder="1" applyAlignment="1">
      <alignment horizontal="center"/>
    </xf>
    <xf numFmtId="0" fontId="0" fillId="0" borderId="6" xfId="0" applyBorder="1"/>
    <xf numFmtId="0" fontId="0" fillId="20" borderId="1" xfId="0" applyFont="1" applyFill="1" applyBorder="1" applyAlignment="1">
      <alignment horizontal="center"/>
    </xf>
    <xf numFmtId="0" fontId="0" fillId="21" borderId="1" xfId="0" applyFont="1" applyFill="1" applyBorder="1" applyAlignment="1">
      <alignment horizontal="center"/>
    </xf>
    <xf numFmtId="164" fontId="0" fillId="0" borderId="1" xfId="0" applyNumberFormat="1" applyFont="1" applyBorder="1" applyAlignment="1">
      <alignment horizontal="center"/>
    </xf>
    <xf numFmtId="164" fontId="0" fillId="19" borderId="1" xfId="0" applyNumberFormat="1" applyFont="1" applyFill="1" applyBorder="1" applyAlignment="1">
      <alignment horizontal="center"/>
    </xf>
    <xf numFmtId="0" fontId="0" fillId="0" borderId="4" xfId="0" applyFont="1" applyBorder="1" applyAlignment="1">
      <alignment horizontal="center"/>
    </xf>
    <xf numFmtId="0" fontId="1" fillId="0" borderId="14" xfId="0" applyFont="1" applyBorder="1" applyAlignment="1">
      <alignment horizontal="center"/>
    </xf>
    <xf numFmtId="0" fontId="3" fillId="0" borderId="5" xfId="0" applyFont="1" applyBorder="1" applyAlignment="1">
      <alignment horizontal="center"/>
    </xf>
    <xf numFmtId="164" fontId="0" fillId="0" borderId="5" xfId="0" applyNumberFormat="1" applyBorder="1" applyAlignment="1">
      <alignment horizontal="center"/>
    </xf>
    <xf numFmtId="0" fontId="1" fillId="0" borderId="6" xfId="0" applyFont="1" applyBorder="1" applyAlignment="1">
      <alignment horizontal="center"/>
    </xf>
    <xf numFmtId="164" fontId="0" fillId="0" borderId="14" xfId="0" applyNumberFormat="1" applyBorder="1" applyAlignment="1">
      <alignment horizontal="center"/>
    </xf>
    <xf numFmtId="0" fontId="0" fillId="0" borderId="3" xfId="0" applyBorder="1" applyAlignment="1"/>
    <xf numFmtId="0" fontId="0" fillId="0" borderId="4" xfId="0" applyBorder="1" applyAlignment="1"/>
    <xf numFmtId="0" fontId="1" fillId="0" borderId="6" xfId="0" applyFont="1" applyBorder="1" applyAlignment="1"/>
    <xf numFmtId="0" fontId="0" fillId="0" borderId="7" xfId="0" applyBorder="1" applyAlignment="1"/>
    <xf numFmtId="0" fontId="6" fillId="0" borderId="0" xfId="1" applyFont="1" applyBorder="1" applyAlignment="1">
      <alignment vertical="center" wrapText="1"/>
    </xf>
    <xf numFmtId="0" fontId="11" fillId="0" borderId="0" xfId="0" applyFont="1" applyAlignment="1">
      <alignment horizontal="center"/>
    </xf>
    <xf numFmtId="0" fontId="12" fillId="0" borderId="0" xfId="0" applyFont="1" applyAlignment="1">
      <alignment horizontal="center"/>
    </xf>
    <xf numFmtId="0" fontId="11" fillId="0" borderId="0" xfId="0" applyFont="1"/>
    <xf numFmtId="0" fontId="12" fillId="0" borderId="0" xfId="0" applyFont="1" applyBorder="1" applyAlignment="1">
      <alignment horizontal="center"/>
    </xf>
    <xf numFmtId="164" fontId="0" fillId="0" borderId="0" xfId="0" applyNumberFormat="1" applyAlignment="1">
      <alignment horizontal="center"/>
    </xf>
    <xf numFmtId="0" fontId="13" fillId="0" borderId="0" xfId="0" applyFont="1"/>
    <xf numFmtId="0" fontId="14" fillId="0" borderId="0" xfId="0" applyFont="1"/>
    <xf numFmtId="0" fontId="1" fillId="0" borderId="5" xfId="0" applyFont="1" applyBorder="1" applyAlignment="1">
      <alignment horizontal="center"/>
    </xf>
    <xf numFmtId="0" fontId="0" fillId="0" borderId="2" xfId="0" applyFill="1" applyBorder="1" applyAlignment="1">
      <alignment horizontal="center"/>
    </xf>
    <xf numFmtId="0" fontId="0" fillId="0" borderId="2" xfId="0" applyBorder="1"/>
    <xf numFmtId="0" fontId="0" fillId="0" borderId="10" xfId="0" applyFill="1" applyBorder="1" applyAlignment="1">
      <alignment horizontal="center"/>
    </xf>
    <xf numFmtId="0" fontId="0" fillId="0" borderId="5" xfId="0" applyBorder="1"/>
    <xf numFmtId="0" fontId="0" fillId="0" borderId="12" xfId="0" applyBorder="1" applyAlignment="1"/>
    <xf numFmtId="0" fontId="0" fillId="0" borderId="2" xfId="0" quotePrefix="1" applyBorder="1" applyAlignment="1">
      <alignment horizontal="center"/>
    </xf>
    <xf numFmtId="165" fontId="0" fillId="0" borderId="5" xfId="0" applyNumberFormat="1" applyBorder="1" applyAlignment="1">
      <alignment horizontal="center"/>
    </xf>
    <xf numFmtId="164" fontId="0" fillId="0" borderId="12" xfId="0" applyNumberFormat="1" applyBorder="1" applyAlignment="1">
      <alignment horizontal="center"/>
    </xf>
    <xf numFmtId="164" fontId="0" fillId="0" borderId="13" xfId="0" applyNumberFormat="1" applyBorder="1" applyAlignment="1">
      <alignment horizontal="center"/>
    </xf>
    <xf numFmtId="164" fontId="1" fillId="0" borderId="1" xfId="0" applyNumberFormat="1" applyFont="1" applyBorder="1" applyAlignment="1">
      <alignment horizontal="center"/>
    </xf>
    <xf numFmtId="164" fontId="1" fillId="0" borderId="0" xfId="0" applyNumberFormat="1" applyFont="1" applyAlignment="1">
      <alignment horizontal="center"/>
    </xf>
    <xf numFmtId="0" fontId="0" fillId="0" borderId="14" xfId="0" applyFill="1" applyBorder="1" applyAlignment="1">
      <alignment horizontal="center"/>
    </xf>
    <xf numFmtId="0" fontId="0" fillId="0" borderId="13" xfId="0" quotePrefix="1" applyBorder="1" applyAlignment="1">
      <alignment horizontal="center"/>
    </xf>
    <xf numFmtId="0" fontId="0" fillId="0" borderId="5" xfId="0" applyFont="1" applyFill="1" applyBorder="1" applyAlignment="1">
      <alignment horizontal="center"/>
    </xf>
    <xf numFmtId="2" fontId="0" fillId="0" borderId="5" xfId="0" applyNumberFormat="1" applyBorder="1" applyAlignment="1">
      <alignment horizontal="center"/>
    </xf>
    <xf numFmtId="1" fontId="0" fillId="0" borderId="1" xfId="0" applyNumberFormat="1" applyBorder="1" applyAlignment="1">
      <alignment horizontal="center"/>
    </xf>
    <xf numFmtId="0" fontId="12" fillId="0" borderId="0" xfId="0" applyFont="1" applyAlignment="1"/>
    <xf numFmtId="0" fontId="1" fillId="0" borderId="9" xfId="0" applyFont="1" applyBorder="1" applyAlignment="1"/>
    <xf numFmtId="164" fontId="0" fillId="0" borderId="2" xfId="0" applyNumberFormat="1" applyBorder="1" applyAlignment="1">
      <alignment horizontal="center"/>
    </xf>
    <xf numFmtId="0" fontId="0" fillId="0" borderId="4" xfId="0" applyFill="1" applyBorder="1" applyAlignment="1">
      <alignment horizontal="center"/>
    </xf>
    <xf numFmtId="0" fontId="0" fillId="0" borderId="12" xfId="0" applyFont="1" applyFill="1" applyBorder="1" applyAlignment="1">
      <alignment horizontal="center"/>
    </xf>
    <xf numFmtId="0" fontId="0" fillId="6" borderId="0" xfId="0" applyFill="1" applyAlignment="1">
      <alignment horizontal="center"/>
    </xf>
    <xf numFmtId="0" fontId="0" fillId="6" borderId="0" xfId="0" applyFill="1" applyBorder="1" applyAlignment="1">
      <alignment horizontal="center"/>
    </xf>
    <xf numFmtId="0" fontId="0" fillId="6" borderId="0" xfId="0" applyFill="1"/>
    <xf numFmtId="0" fontId="12" fillId="0" borderId="0" xfId="0" applyFont="1"/>
    <xf numFmtId="0" fontId="1" fillId="0" borderId="14" xfId="0" applyFont="1" applyFill="1" applyBorder="1" applyAlignment="1">
      <alignment horizontal="center"/>
    </xf>
    <xf numFmtId="0" fontId="0" fillId="0" borderId="5" xfId="0" applyFill="1" applyBorder="1" applyAlignment="1">
      <alignment horizontal="center"/>
    </xf>
    <xf numFmtId="0" fontId="11" fillId="0" borderId="0" xfId="0" applyFont="1" applyBorder="1"/>
    <xf numFmtId="0" fontId="0" fillId="0" borderId="6" xfId="0" applyFill="1" applyBorder="1" applyAlignment="1">
      <alignment horizontal="center"/>
    </xf>
    <xf numFmtId="164" fontId="0" fillId="0" borderId="7" xfId="0" applyNumberFormat="1" applyBorder="1" applyAlignment="1">
      <alignment horizontal="center"/>
    </xf>
    <xf numFmtId="0" fontId="12" fillId="0" borderId="0" xfId="0" applyFont="1" applyBorder="1" applyAlignment="1"/>
    <xf numFmtId="0" fontId="10" fillId="22" borderId="1" xfId="0" applyFont="1" applyFill="1" applyBorder="1" applyAlignment="1">
      <alignment horizontal="center"/>
    </xf>
    <xf numFmtId="0" fontId="12" fillId="0" borderId="0" xfId="0" applyFont="1" applyBorder="1" applyAlignment="1">
      <alignment horizontal="left"/>
    </xf>
    <xf numFmtId="0" fontId="0" fillId="0" borderId="12" xfId="0" applyFont="1" applyBorder="1" applyAlignment="1">
      <alignment horizontal="center"/>
    </xf>
    <xf numFmtId="0" fontId="0" fillId="0" borderId="5" xfId="0" applyFont="1" applyBorder="1" applyAlignment="1">
      <alignment horizontal="center"/>
    </xf>
    <xf numFmtId="164" fontId="0" fillId="0" borderId="5" xfId="0" applyNumberFormat="1" applyFont="1" applyBorder="1" applyAlignment="1">
      <alignment horizontal="center"/>
    </xf>
    <xf numFmtId="0" fontId="0" fillId="0" borderId="9" xfId="0" applyFill="1" applyBorder="1" applyAlignment="1">
      <alignment horizontal="center"/>
    </xf>
    <xf numFmtId="9" fontId="0" fillId="0" borderId="2" xfId="0" applyNumberFormat="1" applyBorder="1" applyAlignment="1">
      <alignment horizontal="center"/>
    </xf>
    <xf numFmtId="9" fontId="0" fillId="0" borderId="13" xfId="0" applyNumberFormat="1" applyBorder="1" applyAlignment="1">
      <alignment horizontal="center"/>
    </xf>
    <xf numFmtId="9" fontId="0" fillId="0" borderId="9" xfId="0" applyNumberFormat="1" applyBorder="1" applyAlignment="1">
      <alignment horizontal="center"/>
    </xf>
    <xf numFmtId="0" fontId="0" fillId="0" borderId="6" xfId="0" applyBorder="1" applyAlignment="1"/>
    <xf numFmtId="0" fontId="0" fillId="0" borderId="0" xfId="0" applyAlignment="1">
      <alignment vertical="center"/>
    </xf>
    <xf numFmtId="0" fontId="0" fillId="0" borderId="0" xfId="0" applyAlignment="1">
      <alignment horizontal="left"/>
    </xf>
    <xf numFmtId="0" fontId="0" fillId="17" borderId="0" xfId="0" applyFill="1" applyAlignment="1">
      <alignment horizontal="center"/>
    </xf>
    <xf numFmtId="164" fontId="0" fillId="0" borderId="0" xfId="0" applyNumberFormat="1" applyFill="1" applyAlignment="1">
      <alignment horizontal="center"/>
    </xf>
    <xf numFmtId="0" fontId="0" fillId="0" borderId="0" xfId="0" applyFill="1" applyAlignment="1">
      <alignment horizontal="center"/>
    </xf>
    <xf numFmtId="0" fontId="0" fillId="0" borderId="13" xfId="0" applyFill="1" applyBorder="1" applyAlignment="1">
      <alignment horizontal="center"/>
    </xf>
    <xf numFmtId="0" fontId="0" fillId="0" borderId="5" xfId="0" quotePrefix="1" applyFill="1" applyBorder="1" applyAlignment="1">
      <alignment horizontal="center"/>
    </xf>
    <xf numFmtId="0" fontId="0" fillId="0" borderId="7" xfId="0" applyFill="1" applyBorder="1" applyAlignment="1">
      <alignment horizontal="center"/>
    </xf>
    <xf numFmtId="0" fontId="0" fillId="0" borderId="3" xfId="0" applyFill="1" applyBorder="1" applyAlignment="1">
      <alignment horizontal="center"/>
    </xf>
    <xf numFmtId="0" fontId="0" fillId="0" borderId="0" xfId="0" applyFill="1"/>
    <xf numFmtId="0" fontId="0" fillId="0" borderId="2" xfId="0" applyFill="1" applyBorder="1" applyAlignment="1">
      <alignment horizontal="center" vertical="center"/>
    </xf>
    <xf numFmtId="0" fontId="0" fillId="0" borderId="1" xfId="0" applyFill="1" applyBorder="1" applyAlignment="1">
      <alignment horizontal="center" vertical="top" wrapText="1"/>
    </xf>
    <xf numFmtId="0" fontId="0" fillId="0" borderId="1" xfId="0" applyFill="1" applyBorder="1" applyAlignment="1">
      <alignment horizontal="center" vertical="center"/>
    </xf>
    <xf numFmtId="0" fontId="0" fillId="5" borderId="0" xfId="0" applyFill="1" applyAlignment="1">
      <alignment horizontal="center"/>
    </xf>
    <xf numFmtId="0" fontId="1" fillId="0" borderId="6" xfId="0" applyFont="1" applyFill="1" applyBorder="1" applyAlignment="1">
      <alignment horizontal="center"/>
    </xf>
    <xf numFmtId="0" fontId="0" fillId="0" borderId="13" xfId="0" applyFont="1" applyFill="1" applyBorder="1" applyAlignment="1">
      <alignment horizontal="center" vertical="center"/>
    </xf>
    <xf numFmtId="0" fontId="0" fillId="3" borderId="0" xfId="0" applyFill="1" applyAlignment="1">
      <alignment horizontal="center"/>
    </xf>
    <xf numFmtId="0" fontId="3" fillId="0" borderId="5" xfId="0" applyFont="1" applyFill="1" applyBorder="1" applyAlignment="1">
      <alignment horizontal="center"/>
    </xf>
    <xf numFmtId="0" fontId="3" fillId="0" borderId="1" xfId="0" applyFont="1" applyFill="1" applyBorder="1" applyAlignment="1">
      <alignment horizontal="center"/>
    </xf>
    <xf numFmtId="0" fontId="0" fillId="0" borderId="0" xfId="0" applyFill="1" applyAlignment="1">
      <alignment horizontal="center" vertical="center"/>
    </xf>
    <xf numFmtId="9" fontId="0" fillId="0" borderId="0" xfId="0" applyNumberFormat="1" applyFill="1" applyAlignment="1">
      <alignment horizontal="center"/>
    </xf>
    <xf numFmtId="0" fontId="0" fillId="0" borderId="13" xfId="0" applyFill="1" applyBorder="1" applyAlignment="1">
      <alignment horizontal="center" vertical="center"/>
    </xf>
    <xf numFmtId="0" fontId="0" fillId="0" borderId="5" xfId="0" applyFill="1" applyBorder="1" applyAlignment="1">
      <alignment horizontal="center" vertical="center" wrapText="1"/>
    </xf>
    <xf numFmtId="0" fontId="0" fillId="0" borderId="5" xfId="0" applyFill="1" applyBorder="1"/>
    <xf numFmtId="0" fontId="0" fillId="0" borderId="12" xfId="0" applyFill="1" applyBorder="1" applyAlignment="1">
      <alignment horizontal="center"/>
    </xf>
    <xf numFmtId="0" fontId="0" fillId="0" borderId="1" xfId="0" applyFill="1" applyBorder="1"/>
    <xf numFmtId="0" fontId="0" fillId="0" borderId="14" xfId="0" applyFill="1" applyBorder="1" applyAlignment="1">
      <alignment horizontal="center" vertical="center"/>
    </xf>
    <xf numFmtId="0" fontId="1" fillId="0" borderId="9" xfId="0" applyFont="1" applyFill="1" applyBorder="1" applyAlignment="1">
      <alignment horizontal="center"/>
    </xf>
    <xf numFmtId="0" fontId="0" fillId="0" borderId="10" xfId="0" applyFill="1" applyBorder="1" applyAlignment="1">
      <alignment horizontal="center" vertical="center"/>
    </xf>
    <xf numFmtId="0" fontId="0" fillId="0" borderId="7" xfId="0" applyFill="1" applyBorder="1" applyAlignment="1">
      <alignment horizontal="center" vertical="center"/>
    </xf>
    <xf numFmtId="0" fontId="0" fillId="0" borderId="5" xfId="0" applyFill="1" applyBorder="1" applyAlignment="1">
      <alignment horizontal="center" vertical="center"/>
    </xf>
    <xf numFmtId="0" fontId="0" fillId="0" borderId="12" xfId="0" applyFill="1" applyBorder="1" applyAlignment="1">
      <alignment horizontal="center" vertical="center"/>
    </xf>
    <xf numFmtId="0" fontId="0" fillId="0" borderId="1" xfId="0" applyFont="1" applyFill="1" applyBorder="1" applyAlignment="1">
      <alignment horizontal="center" vertical="center"/>
    </xf>
    <xf numFmtId="0" fontId="1" fillId="0" borderId="9" xfId="0" applyFont="1" applyFill="1" applyBorder="1" applyAlignment="1">
      <alignment horizontal="center" vertical="center"/>
    </xf>
    <xf numFmtId="0" fontId="0" fillId="23" borderId="0" xfId="0" applyFill="1"/>
    <xf numFmtId="0" fontId="0" fillId="0" borderId="2" xfId="0" applyBorder="1" applyAlignment="1">
      <alignment horizontal="center" wrapText="1"/>
    </xf>
    <xf numFmtId="0" fontId="3" fillId="0" borderId="1" xfId="0" applyFont="1" applyBorder="1" applyAlignment="1">
      <alignment horizontal="center" vertical="center"/>
    </xf>
    <xf numFmtId="0" fontId="0" fillId="0" borderId="3" xfId="0" applyBorder="1" applyAlignment="1">
      <alignment horizontal="center" wrapText="1"/>
    </xf>
    <xf numFmtId="0" fontId="0" fillId="0" borderId="0" xfId="0" applyFill="1" applyAlignment="1">
      <alignment vertical="center"/>
    </xf>
    <xf numFmtId="0" fontId="0" fillId="0" borderId="0" xfId="0"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0"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164" fontId="0" fillId="0" borderId="0" xfId="0" applyNumberFormat="1" applyBorder="1" applyAlignment="1">
      <alignment horizontal="center"/>
    </xf>
    <xf numFmtId="0" fontId="3" fillId="0" borderId="15" xfId="0" applyFont="1" applyBorder="1" applyAlignment="1">
      <alignment horizontal="center"/>
    </xf>
    <xf numFmtId="164" fontId="0" fillId="0" borderId="8" xfId="0" applyNumberFormat="1" applyBorder="1" applyAlignment="1">
      <alignment horizontal="center"/>
    </xf>
    <xf numFmtId="0" fontId="0" fillId="0" borderId="0" xfId="0"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1" fillId="0" borderId="4" xfId="0" applyFont="1" applyBorder="1" applyAlignment="1">
      <alignment horizontal="center"/>
    </xf>
    <xf numFmtId="0" fontId="0" fillId="6" borderId="1" xfId="0" applyFill="1" applyBorder="1" applyAlignment="1">
      <alignment horizont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xf>
    <xf numFmtId="0" fontId="0" fillId="0" borderId="4" xfId="0"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quotePrefix="1" applyAlignment="1">
      <alignment horizontal="center"/>
    </xf>
    <xf numFmtId="166" fontId="0" fillId="0" borderId="2" xfId="0" applyNumberFormat="1" applyBorder="1" applyAlignment="1">
      <alignment horizontal="center"/>
    </xf>
    <xf numFmtId="0" fontId="0" fillId="0" borderId="0" xfId="0" applyAlignment="1">
      <alignment horizontal="center"/>
    </xf>
    <xf numFmtId="0" fontId="0" fillId="0" borderId="3" xfId="0" applyFont="1" applyBorder="1" applyAlignment="1">
      <alignment horizontal="center"/>
    </xf>
    <xf numFmtId="0" fontId="0" fillId="0" borderId="12" xfId="0" applyBorder="1"/>
    <xf numFmtId="164" fontId="0" fillId="0" borderId="0" xfId="0" applyNumberFormat="1"/>
    <xf numFmtId="0" fontId="0" fillId="0" borderId="2" xfId="0" applyBorder="1" applyAlignment="1">
      <alignment horizontal="center" vertical="center"/>
    </xf>
    <xf numFmtId="0" fontId="0" fillId="24" borderId="10" xfId="0" applyFill="1" applyBorder="1" applyAlignment="1">
      <alignment horizontal="center" vertical="center"/>
    </xf>
    <xf numFmtId="0" fontId="0" fillId="24" borderId="14" xfId="0" applyFill="1" applyBorder="1"/>
    <xf numFmtId="0" fontId="0" fillId="24" borderId="9" xfId="0" applyFill="1" applyBorder="1" applyAlignment="1">
      <alignment horizontal="center"/>
    </xf>
    <xf numFmtId="0" fontId="0" fillId="6" borderId="4" xfId="0" applyFill="1" applyBorder="1" applyAlignment="1">
      <alignment horizontal="center"/>
    </xf>
    <xf numFmtId="0" fontId="0" fillId="25" borderId="1" xfId="0" applyFill="1" applyBorder="1"/>
    <xf numFmtId="0" fontId="0" fillId="25" borderId="1" xfId="0" applyFill="1" applyBorder="1" applyAlignment="1">
      <alignment horizontal="center"/>
    </xf>
    <xf numFmtId="0" fontId="0" fillId="25" borderId="4" xfId="0" applyFill="1" applyBorder="1" applyAlignment="1">
      <alignment horizontal="center" vertical="center"/>
    </xf>
    <xf numFmtId="0" fontId="0" fillId="25" borderId="4" xfId="0" applyFill="1" applyBorder="1" applyAlignment="1">
      <alignment horizontal="center"/>
    </xf>
    <xf numFmtId="0" fontId="0" fillId="0" borderId="9" xfId="0" applyBorder="1" applyAlignment="1">
      <alignment horizontal="center" vertical="center"/>
    </xf>
    <xf numFmtId="0" fontId="0" fillId="26" borderId="1" xfId="0" applyFill="1" applyBorder="1" applyAlignment="1">
      <alignment horizontal="center"/>
    </xf>
    <xf numFmtId="0" fontId="0" fillId="26" borderId="4" xfId="0" applyFill="1" applyBorder="1" applyAlignment="1">
      <alignment horizontal="center" vertical="center"/>
    </xf>
    <xf numFmtId="0" fontId="0" fillId="27" borderId="1" xfId="0" applyFill="1" applyBorder="1"/>
    <xf numFmtId="0" fontId="0" fillId="27" borderId="1" xfId="0" applyFill="1" applyBorder="1" applyAlignment="1">
      <alignment horizontal="center"/>
    </xf>
    <xf numFmtId="0" fontId="0" fillId="27" borderId="0" xfId="0" applyFill="1" applyAlignment="1">
      <alignment horizontal="center"/>
    </xf>
    <xf numFmtId="0" fontId="0" fillId="27" borderId="4" xfId="0" applyFill="1" applyBorder="1" applyAlignment="1">
      <alignment horizontal="center" vertical="center"/>
    </xf>
    <xf numFmtId="0" fontId="0" fillId="27" borderId="4" xfId="0" applyFill="1" applyBorder="1" applyAlignment="1">
      <alignment horizontal="center"/>
    </xf>
    <xf numFmtId="0" fontId="9" fillId="0" borderId="2" xfId="2" applyBorder="1" applyAlignment="1">
      <alignment horizontal="center"/>
    </xf>
    <xf numFmtId="0" fontId="0" fillId="10" borderId="1" xfId="0" applyFill="1" applyBorder="1"/>
    <xf numFmtId="0" fontId="0" fillId="11" borderId="1" xfId="0" applyFill="1" applyBorder="1"/>
    <xf numFmtId="0" fontId="0" fillId="7" borderId="1" xfId="0" applyFill="1" applyBorder="1"/>
    <xf numFmtId="0" fontId="0" fillId="2" borderId="5" xfId="0" applyFill="1" applyBorder="1" applyAlignment="1">
      <alignment horizontal="center"/>
    </xf>
    <xf numFmtId="0" fontId="0" fillId="2" borderId="5" xfId="0" applyFont="1" applyFill="1" applyBorder="1" applyAlignment="1">
      <alignment horizontal="center"/>
    </xf>
    <xf numFmtId="0" fontId="0" fillId="28" borderId="1" xfId="0" applyFill="1" applyBorder="1"/>
    <xf numFmtId="0" fontId="0" fillId="0" borderId="0" xfId="0" applyAlignment="1">
      <alignment horizontal="center"/>
    </xf>
    <xf numFmtId="0" fontId="0" fillId="0" borderId="7"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29" borderId="1" xfId="0" applyFill="1" applyBorder="1" applyAlignment="1">
      <alignment horizontal="center" vertical="center"/>
    </xf>
    <xf numFmtId="0" fontId="0" fillId="6" borderId="1" xfId="0" applyFill="1" applyBorder="1" applyAlignment="1">
      <alignment horizontal="center" vertical="center"/>
    </xf>
    <xf numFmtId="0" fontId="0" fillId="6" borderId="0" xfId="0" applyFill="1" applyBorder="1"/>
    <xf numFmtId="0" fontId="1" fillId="6" borderId="0" xfId="0" applyFont="1" applyFill="1" applyBorder="1" applyAlignment="1">
      <alignment horizontal="center"/>
    </xf>
    <xf numFmtId="0" fontId="0" fillId="0" borderId="0" xfId="0" applyAlignment="1">
      <alignment horizontal="center"/>
    </xf>
    <xf numFmtId="0" fontId="0" fillId="0" borderId="3" xfId="0" applyBorder="1" applyAlignment="1">
      <alignment horizontal="center"/>
    </xf>
    <xf numFmtId="0" fontId="0" fillId="0" borderId="7"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5" xfId="0" applyBorder="1" applyAlignment="1">
      <alignment horizontal="center" vertical="center"/>
    </xf>
    <xf numFmtId="0" fontId="0" fillId="0" borderId="5" xfId="0" applyBorder="1" applyAlignment="1">
      <alignment horizontal="center"/>
    </xf>
    <xf numFmtId="0" fontId="10" fillId="31" borderId="18" xfId="0" applyFont="1" applyFill="1" applyBorder="1" applyAlignment="1">
      <alignment horizontal="center"/>
    </xf>
    <xf numFmtId="0" fontId="10" fillId="32" borderId="20" xfId="0" applyFont="1" applyFill="1" applyBorder="1" applyAlignment="1">
      <alignment horizontal="center"/>
    </xf>
    <xf numFmtId="0" fontId="0" fillId="0" borderId="21" xfId="0" applyFont="1" applyBorder="1" applyAlignment="1">
      <alignment horizontal="center"/>
    </xf>
    <xf numFmtId="0" fontId="0" fillId="33" borderId="1" xfId="0" applyFont="1" applyFill="1" applyBorder="1" applyAlignment="1">
      <alignment horizontal="center"/>
    </xf>
    <xf numFmtId="0" fontId="0" fillId="33" borderId="21" xfId="0" applyFont="1" applyFill="1" applyBorder="1" applyAlignment="1">
      <alignment horizontal="center"/>
    </xf>
    <xf numFmtId="0" fontId="0" fillId="19" borderId="16" xfId="0" applyFont="1" applyFill="1" applyBorder="1" applyAlignment="1">
      <alignment horizontal="center"/>
    </xf>
    <xf numFmtId="0" fontId="10" fillId="30" borderId="16" xfId="0" applyFont="1" applyFill="1" applyBorder="1"/>
    <xf numFmtId="0" fontId="10" fillId="30" borderId="22" xfId="0" applyFont="1" applyFill="1" applyBorder="1" applyAlignment="1">
      <alignment horizontal="center"/>
    </xf>
    <xf numFmtId="0" fontId="0" fillId="19" borderId="22" xfId="0" applyFont="1" applyFill="1" applyBorder="1" applyAlignment="1">
      <alignment horizontal="center"/>
    </xf>
    <xf numFmtId="0" fontId="0" fillId="0" borderId="16" xfId="0" applyFont="1" applyBorder="1" applyAlignment="1">
      <alignment horizontal="center"/>
    </xf>
    <xf numFmtId="0" fontId="0" fillId="0" borderId="22" xfId="0" applyFont="1" applyBorder="1" applyAlignment="1">
      <alignment horizontal="center"/>
    </xf>
    <xf numFmtId="0" fontId="10" fillId="31" borderId="17" xfId="0" applyFont="1" applyFill="1" applyBorder="1"/>
    <xf numFmtId="0" fontId="0" fillId="21" borderId="18" xfId="0" applyFont="1" applyFill="1" applyBorder="1" applyAlignment="1">
      <alignment horizontal="center"/>
    </xf>
    <xf numFmtId="0" fontId="10" fillId="32" borderId="19" xfId="0" applyFont="1" applyFill="1" applyBorder="1"/>
    <xf numFmtId="0" fontId="0" fillId="33" borderId="1"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xf numFmtId="0" fontId="10" fillId="34" borderId="1" xfId="0" applyFont="1" applyFill="1" applyBorder="1" applyAlignment="1">
      <alignment horizontal="center"/>
    </xf>
    <xf numFmtId="0" fontId="10" fillId="34" borderId="1"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horizontal="center" wrapText="1"/>
    </xf>
    <xf numFmtId="0" fontId="3" fillId="0" borderId="0" xfId="0" applyFont="1" applyBorder="1" applyAlignment="1">
      <alignment horizontal="center"/>
    </xf>
    <xf numFmtId="0" fontId="0" fillId="0" borderId="23" xfId="0" applyBorder="1" applyAlignment="1">
      <alignment horizontal="center"/>
    </xf>
    <xf numFmtId="0" fontId="3" fillId="0" borderId="23" xfId="0" applyFont="1" applyBorder="1" applyAlignment="1">
      <alignment horizontal="center"/>
    </xf>
    <xf numFmtId="0" fontId="0" fillId="0" borderId="24" xfId="0" applyBorder="1" applyAlignment="1">
      <alignment horizontal="center"/>
    </xf>
    <xf numFmtId="0" fontId="0" fillId="0" borderId="25" xfId="0" applyFont="1" applyBorder="1" applyAlignment="1">
      <alignment horizontal="center"/>
    </xf>
    <xf numFmtId="0" fontId="0" fillId="0" borderId="0" xfId="0" applyFont="1" applyBorder="1" applyAlignment="1">
      <alignment horizontal="center"/>
    </xf>
    <xf numFmtId="0" fontId="0" fillId="0" borderId="26" xfId="0" applyFont="1" applyBorder="1" applyAlignment="1">
      <alignment horizontal="center"/>
    </xf>
    <xf numFmtId="0" fontId="0" fillId="20" borderId="27" xfId="0" applyFont="1" applyFill="1" applyBorder="1" applyAlignment="1">
      <alignment horizontal="center"/>
    </xf>
    <xf numFmtId="0" fontId="0" fillId="20" borderId="28" xfId="0" applyFont="1" applyFill="1" applyBorder="1" applyAlignment="1">
      <alignment horizontal="center"/>
    </xf>
    <xf numFmtId="0" fontId="0" fillId="20" borderId="29" xfId="0" applyFont="1" applyFill="1" applyBorder="1" applyAlignment="1">
      <alignment horizontal="center"/>
    </xf>
    <xf numFmtId="0" fontId="0" fillId="0" borderId="30" xfId="0" applyBorder="1"/>
    <xf numFmtId="0" fontId="0" fillId="0" borderId="31" xfId="0" applyFont="1" applyBorder="1" applyAlignment="1">
      <alignment horizontal="center"/>
    </xf>
    <xf numFmtId="0" fontId="0" fillId="0" borderId="32" xfId="0" applyFont="1" applyBorder="1" applyAlignment="1">
      <alignment horizontal="center"/>
    </xf>
    <xf numFmtId="0" fontId="0" fillId="0" borderId="33" xfId="0" applyFont="1" applyBorder="1" applyAlignment="1">
      <alignment horizontal="center"/>
    </xf>
    <xf numFmtId="0" fontId="0" fillId="0" borderId="34" xfId="0" applyFont="1" applyBorder="1" applyAlignment="1">
      <alignment horizontal="center"/>
    </xf>
    <xf numFmtId="0" fontId="0" fillId="21" borderId="35" xfId="0" applyFont="1" applyFill="1" applyBorder="1" applyAlignment="1">
      <alignment horizontal="center"/>
    </xf>
    <xf numFmtId="0" fontId="0" fillId="0" borderId="3" xfId="0" applyBorder="1" applyAlignment="1">
      <alignment horizontal="center" vertical="center"/>
    </xf>
    <xf numFmtId="0" fontId="0" fillId="0" borderId="3" xfId="0" applyBorder="1" applyAlignment="1">
      <alignment horizontal="center" vertical="center" wrapText="1"/>
    </xf>
    <xf numFmtId="0" fontId="3" fillId="0" borderId="5" xfId="0" applyFont="1" applyBorder="1" applyAlignment="1">
      <alignment horizontal="center" vertical="center"/>
    </xf>
    <xf numFmtId="0" fontId="0" fillId="0" borderId="7" xfId="0" applyBorder="1" applyAlignment="1">
      <alignment horizontal="center" vertical="center"/>
    </xf>
    <xf numFmtId="16" fontId="0" fillId="0" borderId="1" xfId="0" applyNumberFormat="1" applyFont="1" applyBorder="1" applyAlignment="1">
      <alignment horizontal="center" vertical="center"/>
    </xf>
    <xf numFmtId="0" fontId="0" fillId="0" borderId="3" xfId="0" applyFill="1" applyBorder="1" applyAlignment="1">
      <alignment horizontal="center" vertical="center"/>
    </xf>
    <xf numFmtId="0" fontId="0" fillId="0" borderId="2" xfId="0" applyFont="1" applyBorder="1" applyAlignment="1">
      <alignment horizontal="center"/>
    </xf>
    <xf numFmtId="0" fontId="0" fillId="33" borderId="2" xfId="0" applyFont="1" applyFill="1" applyBorder="1" applyAlignment="1">
      <alignment horizontal="center"/>
    </xf>
    <xf numFmtId="0" fontId="10" fillId="34" borderId="21" xfId="0" applyFont="1" applyFill="1" applyBorder="1" applyAlignment="1">
      <alignment horizontal="center"/>
    </xf>
    <xf numFmtId="0" fontId="10" fillId="34" borderId="2" xfId="0" applyFont="1" applyFill="1" applyBorder="1" applyAlignment="1">
      <alignment horizontal="center"/>
    </xf>
    <xf numFmtId="0" fontId="0" fillId="0" borderId="23" xfId="0" applyBorder="1"/>
    <xf numFmtId="0" fontId="0" fillId="0" borderId="24" xfId="0" applyBorder="1"/>
    <xf numFmtId="0" fontId="0" fillId="0" borderId="36" xfId="0" applyBorder="1"/>
    <xf numFmtId="0" fontId="0" fillId="0" borderId="0" xfId="0" applyFont="1" applyFill="1" applyBorder="1" applyAlignment="1">
      <alignment horizontal="center"/>
    </xf>
    <xf numFmtId="0" fontId="0" fillId="0" borderId="37" xfId="0" applyBorder="1"/>
    <xf numFmtId="0" fontId="0" fillId="0" borderId="38" xfId="0" applyFont="1" applyFill="1" applyBorder="1" applyAlignment="1">
      <alignment horizontal="center"/>
    </xf>
    <xf numFmtId="0" fontId="10" fillId="0" borderId="0" xfId="0" applyFont="1" applyFill="1" applyBorder="1" applyAlignment="1">
      <alignment horizontal="center"/>
    </xf>
    <xf numFmtId="0" fontId="0" fillId="33" borderId="1" xfId="0" quotePrefix="1" applyFont="1" applyFill="1" applyBorder="1" applyAlignment="1">
      <alignment horizontal="center"/>
    </xf>
    <xf numFmtId="167" fontId="0" fillId="0" borderId="0" xfId="0" applyNumberFormat="1" applyFill="1" applyAlignment="1">
      <alignment horizontal="center" vertical="center"/>
    </xf>
    <xf numFmtId="165" fontId="0" fillId="0" borderId="0" xfId="0" applyNumberFormat="1" applyAlignment="1">
      <alignment horizontal="center"/>
    </xf>
    <xf numFmtId="0" fontId="0" fillId="0" borderId="1" xfId="0" applyBorder="1" applyAlignment="1">
      <alignment horizontal="center"/>
    </xf>
    <xf numFmtId="0" fontId="0" fillId="0" borderId="7" xfId="0" applyBorder="1"/>
    <xf numFmtId="168" fontId="0" fillId="0" borderId="1" xfId="0" applyNumberFormat="1" applyBorder="1" applyAlignment="1">
      <alignment horizontal="center"/>
    </xf>
    <xf numFmtId="0" fontId="0" fillId="0" borderId="0" xfId="0" applyAlignment="1">
      <alignment horizontal="center"/>
    </xf>
    <xf numFmtId="0" fontId="0" fillId="0" borderId="1" xfId="0" applyBorder="1" applyAlignment="1">
      <alignment horizontal="center"/>
    </xf>
    <xf numFmtId="0" fontId="12" fillId="0" borderId="0" xfId="0" applyFont="1" applyAlignment="1">
      <alignment horizontal="center"/>
    </xf>
    <xf numFmtId="0" fontId="0" fillId="0" borderId="0" xfId="0"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6" xfId="0" applyBorder="1" applyAlignment="1">
      <alignment horizontal="center"/>
    </xf>
    <xf numFmtId="0" fontId="0" fillId="0" borderId="1" xfId="0" applyBorder="1" applyAlignment="1">
      <alignment horizontal="left"/>
    </xf>
    <xf numFmtId="0" fontId="0" fillId="0" borderId="0" xfId="0" applyAlignment="1">
      <alignment horizontal="left" vertical="center"/>
    </xf>
    <xf numFmtId="0" fontId="0" fillId="0" borderId="7" xfId="0" applyBorder="1" applyAlignment="1">
      <alignment horizontal="center"/>
    </xf>
    <xf numFmtId="0" fontId="0" fillId="0" borderId="0" xfId="0" applyAlignment="1">
      <alignment horizontal="left" vertical="center" wrapText="1"/>
    </xf>
    <xf numFmtId="0" fontId="0" fillId="0" borderId="0" xfId="0" applyAlignment="1">
      <alignment wrapText="1"/>
    </xf>
    <xf numFmtId="0" fontId="0" fillId="0" borderId="0" xfId="0" applyBorder="1" applyAlignment="1">
      <alignment horizontal="center"/>
    </xf>
    <xf numFmtId="0" fontId="15" fillId="0" borderId="0" xfId="0" applyFont="1" applyAlignment="1">
      <alignment horizontal="center"/>
    </xf>
    <xf numFmtId="0" fontId="0" fillId="0" borderId="1" xfId="0" applyBorder="1" applyAlignment="1">
      <alignment horizontal="center"/>
    </xf>
    <xf numFmtId="0" fontId="0" fillId="9" borderId="1" xfId="0" applyFill="1" applyBorder="1" applyAlignment="1">
      <alignment horizontal="center"/>
    </xf>
    <xf numFmtId="0" fontId="0" fillId="8" borderId="1" xfId="0" applyFill="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6" borderId="0" xfId="0" applyFont="1" applyFill="1" applyBorder="1" applyAlignment="1">
      <alignment horizontal="center"/>
    </xf>
    <xf numFmtId="0" fontId="1" fillId="0" borderId="0" xfId="0" applyFont="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xf>
    <xf numFmtId="0" fontId="0" fillId="15" borderId="0" xfId="0" applyFill="1" applyAlignment="1">
      <alignment horizontal="center"/>
    </xf>
    <xf numFmtId="0" fontId="0" fillId="12" borderId="0" xfId="0" applyFill="1" applyAlignment="1">
      <alignment horizontal="center"/>
    </xf>
    <xf numFmtId="0" fontId="0" fillId="13" borderId="0" xfId="0" applyFill="1" applyAlignment="1">
      <alignment horizontal="center"/>
    </xf>
    <xf numFmtId="0" fontId="0" fillId="18" borderId="0" xfId="0" applyFill="1" applyAlignment="1">
      <alignment horizontal="center"/>
    </xf>
    <xf numFmtId="0" fontId="0" fillId="16" borderId="0" xfId="0" applyFill="1" applyAlignment="1">
      <alignment horizontal="center"/>
    </xf>
    <xf numFmtId="1" fontId="0" fillId="0" borderId="1" xfId="0" applyNumberFormat="1" applyBorder="1"/>
    <xf numFmtId="0" fontId="0" fillId="4" borderId="1" xfId="0" applyFill="1" applyBorder="1" applyAlignment="1">
      <alignment horizontal="center"/>
    </xf>
    <xf numFmtId="0" fontId="0" fillId="12" borderId="1" xfId="0" applyFill="1" applyBorder="1" applyAlignment="1">
      <alignment horizontal="center"/>
    </xf>
    <xf numFmtId="0" fontId="0" fillId="13" borderId="1" xfId="0" applyFill="1" applyBorder="1" applyAlignment="1">
      <alignment horizontal="center"/>
    </xf>
    <xf numFmtId="0" fontId="0" fillId="14" borderId="1" xfId="0" applyFill="1" applyBorder="1" applyAlignment="1">
      <alignment horizontal="center"/>
    </xf>
    <xf numFmtId="0" fontId="0" fillId="15" borderId="1" xfId="0" applyFill="1" applyBorder="1" applyAlignment="1">
      <alignment horizontal="center"/>
    </xf>
    <xf numFmtId="0" fontId="0" fillId="0" borderId="1" xfId="0" applyBorder="1" applyAlignment="1">
      <alignment horizontal="center" vertical="center" wrapText="1"/>
    </xf>
    <xf numFmtId="0" fontId="0" fillId="18" borderId="1" xfId="0" applyFill="1" applyBorder="1" applyAlignment="1">
      <alignment horizontal="center"/>
    </xf>
    <xf numFmtId="0" fontId="0" fillId="17" borderId="1" xfId="0" applyFill="1" applyBorder="1" applyAlignment="1">
      <alignment horizontal="center"/>
    </xf>
    <xf numFmtId="0" fontId="0" fillId="3" borderId="1" xfId="0" applyFill="1" applyBorder="1" applyAlignment="1">
      <alignment horizontal="center" vertical="center"/>
    </xf>
    <xf numFmtId="0" fontId="0" fillId="16" borderId="1" xfId="0" applyFill="1" applyBorder="1" applyAlignment="1">
      <alignment horizontal="center"/>
    </xf>
    <xf numFmtId="164" fontId="0" fillId="0" borderId="1" xfId="0" applyNumberFormat="1" applyBorder="1"/>
    <xf numFmtId="165" fontId="0" fillId="0" borderId="1" xfId="0" applyNumberFormat="1" applyBorder="1"/>
    <xf numFmtId="0" fontId="0" fillId="23" borderId="1" xfId="0" applyFill="1" applyBorder="1"/>
    <xf numFmtId="164" fontId="0" fillId="23" borderId="1" xfId="0" applyNumberFormat="1" applyFill="1" applyBorder="1"/>
    <xf numFmtId="1" fontId="0" fillId="0" borderId="1" xfId="0" applyNumberFormat="1" applyBorder="1" applyAlignment="1">
      <alignment horizontal="center" vertical="center"/>
    </xf>
    <xf numFmtId="0" fontId="0" fillId="0" borderId="0" xfId="0" applyAlignment="1">
      <alignment horizontal="left"/>
    </xf>
    <xf numFmtId="0" fontId="0" fillId="0" borderId="1" xfId="0" applyFont="1" applyBorder="1" applyAlignment="1">
      <alignment horizontal="center" wrapText="1"/>
    </xf>
    <xf numFmtId="0" fontId="0" fillId="0" borderId="1" xfId="0" applyBorder="1" applyAlignment="1"/>
  </cellXfs>
  <cellStyles count="3">
    <cellStyle name="Hipervínculo" xfId="2" builtinId="8"/>
    <cellStyle name="Normal" xfId="0" builtinId="0"/>
    <cellStyle name="Normal 2" xfId="1"/>
  </cellStyles>
  <dxfs count="860">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border diagonalUp="0" diagonalDown="0" outline="0">
        <left style="thin">
          <color indexed="64"/>
        </left>
        <right style="thin">
          <color indexed="64"/>
        </right>
        <top/>
        <bottom/>
      </border>
    </dxf>
    <dxf>
      <alignment horizontal="center" vertical="bottom" textRotation="0" wrapText="0" indent="0" justifyLastLine="0" shrinkToFit="0" readingOrder="0"/>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numFmt numFmtId="164" formatCode="0.000"/>
      <alignment horizontal="center" vertical="bottom" textRotation="0" wrapText="0" indent="0" justifyLastLine="0" shrinkToFit="0" readingOrder="0"/>
      <border diagonalUp="0" diagonalDown="0" outline="0">
        <left style="thin">
          <color indexed="64"/>
        </left>
        <right/>
        <top style="thin">
          <color indexed="64"/>
        </top>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numFmt numFmtId="164" formatCode="0.000"/>
      <alignment horizontal="center" vertical="bottom" textRotation="0" wrapText="0"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numFmt numFmtId="164" formatCode="0.000"/>
      <alignment horizontal="center" vertical="bottom" textRotation="0" wrapText="0" indent="0" justifyLastLine="0" shrinkToFit="0" readingOrder="0"/>
      <border diagonalUp="0" diagonalDown="0" outline="0">
        <left style="thin">
          <color indexed="64"/>
        </left>
        <right/>
        <top style="thin">
          <color indexed="64"/>
        </top>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numFmt numFmtId="164" formatCode="0.000"/>
      <alignment horizontal="center" vertical="bottom" textRotation="0" wrapText="0"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outline="0">
        <left style="thin">
          <color indexed="64"/>
        </left>
      </border>
    </dxf>
    <dxf>
      <numFmt numFmtId="164" formatCode="0.000"/>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0.000"/>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numFmt numFmtId="164" formatCode="0.000"/>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left/>
        <right style="thin">
          <color indexed="64"/>
        </right>
        <top/>
        <bottom/>
        <vertical/>
        <horizontal/>
      </border>
    </dxf>
    <dxf>
      <alignment horizontal="center" vertical="bottom" textRotation="0" wrapText="0" indent="0" justifyLastLine="0" shrinkToFit="0" readingOrder="0"/>
      <border diagonalUp="0" diagonalDown="0">
        <left/>
        <right/>
        <top style="thin">
          <color auto="1"/>
        </top>
        <bottom/>
        <vertical/>
        <horizontal/>
      </border>
    </dxf>
    <dxf>
      <border outline="0">
        <left style="thin">
          <color indexed="64"/>
        </left>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right/>
        <top style="thin">
          <color auto="1"/>
        </top>
        <bottom/>
        <vertical/>
        <horizontal/>
      </border>
    </dxf>
    <dxf>
      <border outline="0">
        <left style="thin">
          <color indexed="64"/>
        </left>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right/>
        <top style="thin">
          <color auto="1"/>
        </top>
        <bottom/>
        <vertical/>
        <horizontal/>
      </border>
    </dxf>
    <dxf>
      <border outline="0">
        <left style="thin">
          <color indexed="64"/>
        </left>
        <top style="thin">
          <color indexed="64"/>
        </top>
      </border>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theme="0"/>
        </patternFill>
      </fill>
      <alignment horizontal="center" vertical="center" textRotation="0" wrapText="0" indent="0" justifyLastLine="0" shrinkToFit="0" readingOrder="0"/>
    </dxf>
    <dxf>
      <fill>
        <patternFill patternType="solid">
          <fgColor indexed="64"/>
          <bgColor theme="0"/>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1"/>
        </patternFill>
      </fill>
    </dxf>
    <dxf>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outline="0">
        <right style="thin">
          <color indexed="64"/>
        </right>
      </border>
    </dxf>
    <dxf>
      <border diagonalUp="0" diagonalDown="0">
        <left style="thin">
          <color indexed="64"/>
        </left>
        <right style="thin">
          <color indexed="64"/>
        </right>
        <top/>
        <bottom/>
        <vertical style="thin">
          <color indexed="64"/>
        </vertical>
        <horizontal style="thin">
          <color indexed="64"/>
        </horizontal>
      </border>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top style="thin">
          <color indexed="64"/>
        </top>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top style="thin">
          <color indexed="64"/>
        </top>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border>
    </dxf>
    <dxf>
      <alignment horizontal="center" vertical="bottom"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border outline="0">
        <left style="thin">
          <color indexed="64"/>
        </left>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dxf>
    <dxf>
      <numFmt numFmtId="164" formatCode="0.000"/>
      <alignment horizontal="center" vertical="bottom" textRotation="0" wrapText="0" indent="0" justifyLastLine="0" shrinkToFit="0" readingOrder="0"/>
    </dxf>
    <dxf>
      <numFmt numFmtId="164" formatCode="0.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0.000"/>
      <alignment horizontal="center" vertical="bottom" textRotation="0" wrapText="0" indent="0" justifyLastLine="0" shrinkToFit="0" readingOrder="0"/>
      <border diagonalUp="0" diagonalDown="0">
        <left/>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13" formatCode="0%"/>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3" formatCode="0%"/>
      <alignment horizontal="center" vertical="bottom"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164" formatCode="0.000"/>
      <alignment horizontal="center" vertical="bottom" textRotation="0" wrapText="0" indent="0" justifyLastLine="0" shrinkToFit="0" readingOrder="0"/>
      <border diagonalUp="0" diagonalDown="0" outline="0">
        <left/>
        <right/>
        <top style="thin">
          <color auto="1"/>
        </top>
        <bottom/>
      </border>
    </dxf>
    <dxf>
      <border outline="0">
        <top style="thin">
          <color auto="1"/>
        </top>
      </border>
    </dxf>
    <dxf>
      <border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numFmt numFmtId="13" formatCode="0%"/>
      <alignment horizontal="center" vertical="bottom" textRotation="0" wrapText="0" indent="0" justifyLastLine="0" shrinkToFit="0" readingOrder="0"/>
      <border diagonalUp="0" diagonalDown="0">
        <left style="thin">
          <color indexed="64"/>
        </left>
        <right/>
        <top style="thin">
          <color indexed="64"/>
        </top>
        <bottom/>
        <vertical/>
        <horizontal/>
      </border>
    </dxf>
    <dxf>
      <alignment horizontal="center" vertical="bottom" textRotation="0" wrapText="0" indent="0" justifyLastLine="0" shrinkToFit="0" readingOrder="0"/>
      <border diagonalUp="0" diagonalDown="0">
        <left/>
        <right style="thin">
          <color indexed="64"/>
        </right>
        <top style="thin">
          <color indexed="64"/>
        </top>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0" formatCode="Genera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0" formatCode="Genera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border outline="0">
        <left style="thin">
          <color indexed="64"/>
        </left>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numFmt numFmtId="164" formatCode="0.000"/>
      <alignment horizontal="center" vertical="bottom" textRotation="0" wrapText="0" indent="0" justifyLastLine="0" shrinkToFit="0" readingOrder="0"/>
      <border diagonalUp="0" diagonalDown="0" outline="0">
        <left style="thin">
          <color indexed="64"/>
        </left>
        <right/>
        <top style="thin">
          <color indexed="64"/>
        </top>
        <bottom/>
      </border>
    </dxf>
    <dxf>
      <numFmt numFmtId="164" formatCode="0.000"/>
      <alignment horizontal="center" vertical="bottom" textRotation="0" wrapText="0"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numFmt numFmtId="164" formatCode="0.000"/>
      <alignment horizontal="center" vertical="bottom" textRotation="0" wrapText="0" indent="0" justifyLastLine="0" shrinkToFit="0" readingOrder="0"/>
      <border diagonalUp="0" diagonalDown="0" outline="0">
        <left style="thin">
          <color indexed="64"/>
        </left>
        <right/>
        <top style="thin">
          <color indexed="64"/>
        </top>
        <bottom/>
      </border>
    </dxf>
    <dxf>
      <numFmt numFmtId="164" formatCode="0.000"/>
      <alignment horizontal="center" vertical="bottom" textRotation="0" wrapText="0"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top style="thin">
          <color auto="1"/>
        </top>
      </border>
    </dxf>
    <dxf>
      <border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numFmt numFmtId="164" formatCode="0.000"/>
      <fill>
        <patternFill patternType="solid">
          <fgColor theme="4" tint="0.79998168889431442"/>
          <bgColor theme="4" tint="0.79998168889431442"/>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solid">
          <fgColor theme="4" tint="0.79998168889431442"/>
          <bgColor theme="4" tint="0.79998168889431442"/>
        </patternFill>
      </fill>
      <alignment horizontal="center" vertical="bottom" textRotation="0" wrapText="0" indent="0" justifyLastLine="0" shrinkToFit="0" readingOrder="0"/>
      <border diagonalUp="0" diagonalDown="0" outline="0">
        <left/>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dxf>
    <dxf>
      <border>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numFmt numFmtId="164" formatCode="0.000"/>
      <fill>
        <patternFill patternType="solid">
          <fgColor theme="4" tint="0.79998168889431442"/>
          <bgColor theme="4" tint="0.79998168889431442"/>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solid">
          <fgColor theme="4" tint="0.79998168889431442"/>
          <bgColor theme="4" tint="0.79998168889431442"/>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dxf>
    <dxf>
      <border>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numFmt numFmtId="164" formatCode="0.000"/>
      <fill>
        <patternFill patternType="solid">
          <fgColor theme="4" tint="0.79998168889431442"/>
          <bgColor theme="4" tint="0.79998168889431442"/>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164" formatCode="0.000"/>
      <fill>
        <patternFill patternType="solid">
          <fgColor theme="4" tint="0.79998168889431442"/>
          <bgColor theme="4" tint="0.79998168889431442"/>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theme="4" tint="0.39997558519241921"/>
        </bottom>
      </border>
    </dxf>
    <dxf>
      <numFmt numFmtId="164" formatCode="0.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numFmt numFmtId="164" formatCode="0.000"/>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5" formatCode="0.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numFmt numFmtId="164" formatCode="0.000"/>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outline="0">
        <bottom style="thin">
          <color indexed="64"/>
        </bottom>
      </border>
    </dxf>
    <dxf>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top style="thin">
          <color indexed="64"/>
        </top>
        <bottom style="thin">
          <color indexed="64"/>
        </bottom>
      </border>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numFmt numFmtId="164" formatCode="0.000"/>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numFmt numFmtId="164" formatCode="0.000"/>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alignment horizontal="center" textRotation="0" wrapText="0" indent="0" justifyLastLine="0" shrinkToFit="0" readingOrder="0"/>
    </dxf>
    <dxf>
      <alignment horizontal="center" textRotation="0" wrapText="0" indent="0" justifyLastLine="0" shrinkToFit="0" readingOrder="0"/>
    </dxf>
    <dxf>
      <numFmt numFmtId="164" formatCode="0.000"/>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vertical/>
        <horizontal/>
      </border>
    </dxf>
    <dxf>
      <fill>
        <patternFill patternType="none">
          <fgColor indexed="64"/>
          <bgColor indexed="65"/>
        </patternFill>
      </fill>
      <border diagonalUp="0" diagonalDown="0">
        <left style="thin">
          <color indexed="64"/>
        </left>
        <right style="thin">
          <color indexed="64"/>
        </right>
        <top style="thin">
          <color indexed="64"/>
        </top>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right/>
        <top style="thin">
          <color auto="1"/>
        </top>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top style="thin">
          <color indexed="64"/>
        </top>
        <bottom style="thin">
          <color indexed="64"/>
        </bottom>
      </border>
    </dxf>
    <dxf>
      <fill>
        <patternFill patternType="none">
          <fgColor indexed="64"/>
          <bgColor indexed="65"/>
        </patternFill>
      </fill>
      <alignment horizontal="center" vertical="center" textRotation="0" wrapText="0" indent="0" justifyLastLine="0" shrinkToFit="0" readingOrder="0"/>
    </dxf>
    <dxf>
      <border outline="0">
        <bottom style="thin">
          <color indexed="64"/>
        </bottom>
      </border>
    </dxf>
    <dxf>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top style="thin">
          <color indexed="64"/>
        </top>
        <bottom style="thin">
          <color indexed="64"/>
        </bottom>
      </border>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alignment horizontal="center" vertical="center" textRotation="0" indent="0" justifyLastLine="0" shrinkToFit="0" readingOrder="0"/>
    </dxf>
    <dxf>
      <border outline="0">
        <bottom style="thin">
          <color rgb="FF000000"/>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10" Type="http://schemas.openxmlformats.org/officeDocument/2006/relationships/image" Target="../media/image1.png"/><Relationship Id="rId4" Type="http://schemas.openxmlformats.org/officeDocument/2006/relationships/image" Target="../media/image5.pn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0</xdr:col>
      <xdr:colOff>444500</xdr:colOff>
      <xdr:row>86</xdr:row>
      <xdr:rowOff>0</xdr:rowOff>
    </xdr:from>
    <xdr:to>
      <xdr:col>4</xdr:col>
      <xdr:colOff>777875</xdr:colOff>
      <xdr:row>88</xdr:row>
      <xdr:rowOff>0</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444500" y="13525500"/>
          <a:ext cx="4921250" cy="492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Balance de</a:t>
          </a:r>
          <a:r>
            <a:rPr lang="es-ES" sz="1800" b="1" baseline="0"/>
            <a:t> Masa Global del Proceso (mensual)</a:t>
          </a:r>
          <a:endParaRPr lang="es-ES" sz="1800" b="1"/>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3</xdr:col>
      <xdr:colOff>395287</xdr:colOff>
      <xdr:row>9</xdr:row>
      <xdr:rowOff>104775</xdr:rowOff>
    </xdr:from>
    <xdr:ext cx="65" cy="172227"/>
    <xdr:sp macro="" textlink="">
      <xdr:nvSpPr>
        <xdr:cNvPr id="2" name="CuadroTexto 1">
          <a:extLst>
            <a:ext uri="{FF2B5EF4-FFF2-40B4-BE49-F238E27FC236}">
              <a16:creationId xmlns:a16="http://schemas.microsoft.com/office/drawing/2014/main" id="{00000000-0008-0000-0800-000002000000}"/>
            </a:ext>
          </a:extLst>
        </xdr:cNvPr>
        <xdr:cNvSpPr txBox="1"/>
      </xdr:nvSpPr>
      <xdr:spPr>
        <a:xfrm>
          <a:off x="2681287" y="1819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4</xdr:col>
      <xdr:colOff>47624</xdr:colOff>
      <xdr:row>2</xdr:row>
      <xdr:rowOff>53975</xdr:rowOff>
    </xdr:from>
    <xdr:to>
      <xdr:col>4</xdr:col>
      <xdr:colOff>5222875</xdr:colOff>
      <xdr:row>7</xdr:row>
      <xdr:rowOff>92075</xdr:rowOff>
    </xdr:to>
    <xdr:sp macro="" textlink="">
      <xdr:nvSpPr>
        <xdr:cNvPr id="3" name="CuadroTexto 2">
          <a:extLst>
            <a:ext uri="{FF2B5EF4-FFF2-40B4-BE49-F238E27FC236}">
              <a16:creationId xmlns:a16="http://schemas.microsoft.com/office/drawing/2014/main" id="{00000000-0008-0000-0800-000003000000}"/>
            </a:ext>
          </a:extLst>
        </xdr:cNvPr>
        <xdr:cNvSpPr txBox="1"/>
      </xdr:nvSpPr>
      <xdr:spPr>
        <a:xfrm>
          <a:off x="8620124" y="434975"/>
          <a:ext cx="5175251"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ES" sz="2000"/>
        </a:p>
        <a:p>
          <a:pPr algn="ctr"/>
          <a:r>
            <a:rPr lang="es-ES" sz="2000"/>
            <a:t>ENFRIAMIENTO</a:t>
          </a:r>
        </a:p>
      </xdr:txBody>
    </xdr:sp>
    <xdr:clientData/>
  </xdr:twoCellAnchor>
  <xdr:twoCellAnchor>
    <xdr:from>
      <xdr:col>2</xdr:col>
      <xdr:colOff>123825</xdr:colOff>
      <xdr:row>6</xdr:row>
      <xdr:rowOff>0</xdr:rowOff>
    </xdr:from>
    <xdr:to>
      <xdr:col>4</xdr:col>
      <xdr:colOff>9525</xdr:colOff>
      <xdr:row>6</xdr:row>
      <xdr:rowOff>0</xdr:rowOff>
    </xdr:to>
    <xdr:cxnSp macro="">
      <xdr:nvCxnSpPr>
        <xdr:cNvPr id="5" name="Conector recto de flecha 4">
          <a:extLst>
            <a:ext uri="{FF2B5EF4-FFF2-40B4-BE49-F238E27FC236}">
              <a16:creationId xmlns:a16="http://schemas.microsoft.com/office/drawing/2014/main" id="{00000000-0008-0000-0800-000005000000}"/>
            </a:ext>
          </a:extLst>
        </xdr:cNvPr>
        <xdr:cNvCxnSpPr/>
      </xdr:nvCxnSpPr>
      <xdr:spPr>
        <a:xfrm>
          <a:off x="1647825" y="1143000"/>
          <a:ext cx="1409700"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4</xdr:col>
      <xdr:colOff>5292725</xdr:colOff>
      <xdr:row>6</xdr:row>
      <xdr:rowOff>6350</xdr:rowOff>
    </xdr:from>
    <xdr:to>
      <xdr:col>5</xdr:col>
      <xdr:colOff>1177925</xdr:colOff>
      <xdr:row>6</xdr:row>
      <xdr:rowOff>6350</xdr:rowOff>
    </xdr:to>
    <xdr:cxnSp macro="">
      <xdr:nvCxnSpPr>
        <xdr:cNvPr id="7" name="Conector recto de flecha 6">
          <a:extLst>
            <a:ext uri="{FF2B5EF4-FFF2-40B4-BE49-F238E27FC236}">
              <a16:creationId xmlns:a16="http://schemas.microsoft.com/office/drawing/2014/main" id="{00000000-0008-0000-0800-000007000000}"/>
            </a:ext>
          </a:extLst>
        </xdr:cNvPr>
        <xdr:cNvCxnSpPr/>
      </xdr:nvCxnSpPr>
      <xdr:spPr>
        <a:xfrm>
          <a:off x="13865225" y="1149350"/>
          <a:ext cx="1616075" cy="0"/>
        </a:xfrm>
        <a:prstGeom prst="straightConnector1">
          <a:avLst/>
        </a:prstGeom>
        <a:ln w="38100">
          <a:solidFill>
            <a:srgbClr val="FF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5273675</xdr:colOff>
      <xdr:row>3</xdr:row>
      <xdr:rowOff>101600</xdr:rowOff>
    </xdr:from>
    <xdr:to>
      <xdr:col>5</xdr:col>
      <xdr:colOff>1139825</xdr:colOff>
      <xdr:row>3</xdr:row>
      <xdr:rowOff>101600</xdr:rowOff>
    </xdr:to>
    <xdr:cxnSp macro="">
      <xdr:nvCxnSpPr>
        <xdr:cNvPr id="9" name="Conector recto de flecha 8">
          <a:extLst>
            <a:ext uri="{FF2B5EF4-FFF2-40B4-BE49-F238E27FC236}">
              <a16:creationId xmlns:a16="http://schemas.microsoft.com/office/drawing/2014/main" id="{00000000-0008-0000-0800-000009000000}"/>
            </a:ext>
          </a:extLst>
        </xdr:cNvPr>
        <xdr:cNvCxnSpPr/>
      </xdr:nvCxnSpPr>
      <xdr:spPr>
        <a:xfrm flipH="1">
          <a:off x="13846175" y="673100"/>
          <a:ext cx="1597025" cy="0"/>
        </a:xfrm>
        <a:prstGeom prst="straightConnector1">
          <a:avLst/>
        </a:prstGeom>
        <a:ln w="3810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133350</xdr:colOff>
      <xdr:row>3</xdr:row>
      <xdr:rowOff>171450</xdr:rowOff>
    </xdr:from>
    <xdr:to>
      <xdr:col>4</xdr:col>
      <xdr:colOff>0</xdr:colOff>
      <xdr:row>3</xdr:row>
      <xdr:rowOff>171450</xdr:rowOff>
    </xdr:to>
    <xdr:cxnSp macro="">
      <xdr:nvCxnSpPr>
        <xdr:cNvPr id="11" name="Conector recto de flecha 10">
          <a:extLst>
            <a:ext uri="{FF2B5EF4-FFF2-40B4-BE49-F238E27FC236}">
              <a16:creationId xmlns:a16="http://schemas.microsoft.com/office/drawing/2014/main" id="{00000000-0008-0000-0800-00000B000000}"/>
            </a:ext>
          </a:extLst>
        </xdr:cNvPr>
        <xdr:cNvCxnSpPr/>
      </xdr:nvCxnSpPr>
      <xdr:spPr>
        <a:xfrm flipH="1">
          <a:off x="1657350" y="742950"/>
          <a:ext cx="1390650" cy="0"/>
        </a:xfrm>
        <a:prstGeom prst="straightConnector1">
          <a:avLst/>
        </a:prstGeom>
        <a:ln w="3810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104776</xdr:colOff>
      <xdr:row>6</xdr:row>
      <xdr:rowOff>57151</xdr:rowOff>
    </xdr:from>
    <xdr:to>
      <xdr:col>2</xdr:col>
      <xdr:colOff>714375</xdr:colOff>
      <xdr:row>7</xdr:row>
      <xdr:rowOff>171451</xdr:rowOff>
    </xdr:to>
    <xdr:sp macro="" textlink="">
      <xdr:nvSpPr>
        <xdr:cNvPr id="13" name="CuadroTexto 12">
          <a:extLst>
            <a:ext uri="{FF2B5EF4-FFF2-40B4-BE49-F238E27FC236}">
              <a16:creationId xmlns:a16="http://schemas.microsoft.com/office/drawing/2014/main" id="{00000000-0008-0000-0800-00000D000000}"/>
            </a:ext>
          </a:extLst>
        </xdr:cNvPr>
        <xdr:cNvSpPr txBox="1"/>
      </xdr:nvSpPr>
      <xdr:spPr>
        <a:xfrm>
          <a:off x="1628776" y="1200151"/>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in,h</a:t>
          </a:r>
          <a:endParaRPr lang="es-ES" sz="1800" b="1"/>
        </a:p>
      </xdr:txBody>
    </xdr:sp>
    <xdr:clientData/>
  </xdr:twoCellAnchor>
  <xdr:twoCellAnchor>
    <xdr:from>
      <xdr:col>4</xdr:col>
      <xdr:colOff>5638801</xdr:colOff>
      <xdr:row>6</xdr:row>
      <xdr:rowOff>152401</xdr:rowOff>
    </xdr:from>
    <xdr:to>
      <xdr:col>5</xdr:col>
      <xdr:colOff>517525</xdr:colOff>
      <xdr:row>8</xdr:row>
      <xdr:rowOff>76201</xdr:rowOff>
    </xdr:to>
    <xdr:sp macro="" textlink="">
      <xdr:nvSpPr>
        <xdr:cNvPr id="14" name="CuadroTexto 13">
          <a:extLst>
            <a:ext uri="{FF2B5EF4-FFF2-40B4-BE49-F238E27FC236}">
              <a16:creationId xmlns:a16="http://schemas.microsoft.com/office/drawing/2014/main" id="{00000000-0008-0000-0800-00000E000000}"/>
            </a:ext>
          </a:extLst>
        </xdr:cNvPr>
        <xdr:cNvSpPr txBox="1"/>
      </xdr:nvSpPr>
      <xdr:spPr>
        <a:xfrm>
          <a:off x="14211301" y="1295401"/>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out,h</a:t>
          </a:r>
          <a:endParaRPr lang="es-ES" sz="1800" b="1"/>
        </a:p>
      </xdr:txBody>
    </xdr:sp>
    <xdr:clientData/>
  </xdr:twoCellAnchor>
  <xdr:twoCellAnchor>
    <xdr:from>
      <xdr:col>2</xdr:col>
      <xdr:colOff>28575</xdr:colOff>
      <xdr:row>1</xdr:row>
      <xdr:rowOff>85725</xdr:rowOff>
    </xdr:from>
    <xdr:to>
      <xdr:col>2</xdr:col>
      <xdr:colOff>638174</xdr:colOff>
      <xdr:row>3</xdr:row>
      <xdr:rowOff>9525</xdr:rowOff>
    </xdr:to>
    <xdr:sp macro="" textlink="">
      <xdr:nvSpPr>
        <xdr:cNvPr id="15" name="CuadroTexto 14">
          <a:extLst>
            <a:ext uri="{FF2B5EF4-FFF2-40B4-BE49-F238E27FC236}">
              <a16:creationId xmlns:a16="http://schemas.microsoft.com/office/drawing/2014/main" id="{00000000-0008-0000-0800-00000F000000}"/>
            </a:ext>
          </a:extLst>
        </xdr:cNvPr>
        <xdr:cNvSpPr txBox="1"/>
      </xdr:nvSpPr>
      <xdr:spPr>
        <a:xfrm>
          <a:off x="1552575" y="276225"/>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out,c</a:t>
          </a:r>
          <a:endParaRPr lang="es-ES" sz="1800" b="1"/>
        </a:p>
      </xdr:txBody>
    </xdr:sp>
    <xdr:clientData/>
  </xdr:twoCellAnchor>
  <xdr:twoCellAnchor>
    <xdr:from>
      <xdr:col>4</xdr:col>
      <xdr:colOff>5616575</xdr:colOff>
      <xdr:row>0</xdr:row>
      <xdr:rowOff>180975</xdr:rowOff>
    </xdr:from>
    <xdr:to>
      <xdr:col>5</xdr:col>
      <xdr:colOff>495299</xdr:colOff>
      <xdr:row>2</xdr:row>
      <xdr:rowOff>104775</xdr:rowOff>
    </xdr:to>
    <xdr:sp macro="" textlink="">
      <xdr:nvSpPr>
        <xdr:cNvPr id="16" name="CuadroTexto 15">
          <a:extLst>
            <a:ext uri="{FF2B5EF4-FFF2-40B4-BE49-F238E27FC236}">
              <a16:creationId xmlns:a16="http://schemas.microsoft.com/office/drawing/2014/main" id="{00000000-0008-0000-0800-000010000000}"/>
            </a:ext>
          </a:extLst>
        </xdr:cNvPr>
        <xdr:cNvSpPr txBox="1"/>
      </xdr:nvSpPr>
      <xdr:spPr>
        <a:xfrm>
          <a:off x="14189075" y="180975"/>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in,c</a:t>
          </a:r>
          <a:endParaRPr lang="es-ES" sz="1800" b="1"/>
        </a:p>
      </xdr:txBody>
    </xdr:sp>
    <xdr:clientData/>
  </xdr:twoCellAnchor>
  <xdr:oneCellAnchor>
    <xdr:from>
      <xdr:col>9</xdr:col>
      <xdr:colOff>395287</xdr:colOff>
      <xdr:row>9</xdr:row>
      <xdr:rowOff>104775</xdr:rowOff>
    </xdr:from>
    <xdr:ext cx="65" cy="172227"/>
    <xdr:sp macro="" textlink="">
      <xdr:nvSpPr>
        <xdr:cNvPr id="12" name="CuadroTexto 11">
          <a:extLst>
            <a:ext uri="{FF2B5EF4-FFF2-40B4-BE49-F238E27FC236}">
              <a16:creationId xmlns:a16="http://schemas.microsoft.com/office/drawing/2014/main" id="{00000000-0008-0000-0800-00000C000000}"/>
            </a:ext>
          </a:extLst>
        </xdr:cNvPr>
        <xdr:cNvSpPr txBox="1"/>
      </xdr:nvSpPr>
      <xdr:spPr>
        <a:xfrm>
          <a:off x="7142162" y="1819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8</xdr:col>
      <xdr:colOff>123825</xdr:colOff>
      <xdr:row>6</xdr:row>
      <xdr:rowOff>0</xdr:rowOff>
    </xdr:from>
    <xdr:to>
      <xdr:col>10</xdr:col>
      <xdr:colOff>9525</xdr:colOff>
      <xdr:row>6</xdr:row>
      <xdr:rowOff>0</xdr:rowOff>
    </xdr:to>
    <xdr:cxnSp macro="">
      <xdr:nvCxnSpPr>
        <xdr:cNvPr id="17" name="Conector recto de flecha 16">
          <a:extLst>
            <a:ext uri="{FF2B5EF4-FFF2-40B4-BE49-F238E27FC236}">
              <a16:creationId xmlns:a16="http://schemas.microsoft.com/office/drawing/2014/main" id="{00000000-0008-0000-0800-000011000000}"/>
            </a:ext>
          </a:extLst>
        </xdr:cNvPr>
        <xdr:cNvCxnSpPr/>
      </xdr:nvCxnSpPr>
      <xdr:spPr>
        <a:xfrm>
          <a:off x="5473700" y="1143000"/>
          <a:ext cx="3108325"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8</xdr:col>
      <xdr:colOff>133350</xdr:colOff>
      <xdr:row>3</xdr:row>
      <xdr:rowOff>171450</xdr:rowOff>
    </xdr:from>
    <xdr:to>
      <xdr:col>10</xdr:col>
      <xdr:colOff>0</xdr:colOff>
      <xdr:row>3</xdr:row>
      <xdr:rowOff>171450</xdr:rowOff>
    </xdr:to>
    <xdr:cxnSp macro="">
      <xdr:nvCxnSpPr>
        <xdr:cNvPr id="18" name="Conector recto de flecha 17">
          <a:extLst>
            <a:ext uri="{FF2B5EF4-FFF2-40B4-BE49-F238E27FC236}">
              <a16:creationId xmlns:a16="http://schemas.microsoft.com/office/drawing/2014/main" id="{00000000-0008-0000-0800-000012000000}"/>
            </a:ext>
          </a:extLst>
        </xdr:cNvPr>
        <xdr:cNvCxnSpPr/>
      </xdr:nvCxnSpPr>
      <xdr:spPr>
        <a:xfrm flipH="1">
          <a:off x="5483225" y="742950"/>
          <a:ext cx="3089275" cy="0"/>
        </a:xfrm>
        <a:prstGeom prst="straightConnector1">
          <a:avLst/>
        </a:prstGeom>
        <a:ln w="3810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523875</xdr:colOff>
      <xdr:row>0</xdr:row>
      <xdr:rowOff>304800</xdr:rowOff>
    </xdr:from>
    <xdr:to>
      <xdr:col>4</xdr:col>
      <xdr:colOff>400050</xdr:colOff>
      <xdr:row>4</xdr:row>
      <xdr:rowOff>104775</xdr:rowOff>
    </xdr:to>
    <xdr:sp macro="" textlink="">
      <xdr:nvSpPr>
        <xdr:cNvPr id="2" name="Rectángulo redondeado 1">
          <a:extLst>
            <a:ext uri="{FF2B5EF4-FFF2-40B4-BE49-F238E27FC236}">
              <a16:creationId xmlns:a16="http://schemas.microsoft.com/office/drawing/2014/main" id="{00000000-0008-0000-0600-000002000000}"/>
            </a:ext>
          </a:extLst>
        </xdr:cNvPr>
        <xdr:cNvSpPr/>
      </xdr:nvSpPr>
      <xdr:spPr>
        <a:xfrm>
          <a:off x="4219575" y="304800"/>
          <a:ext cx="1428750" cy="7715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ES" sz="1100"/>
        </a:p>
      </xdr:txBody>
    </xdr:sp>
    <xdr:clientData/>
  </xdr:twoCellAnchor>
  <xdr:twoCellAnchor>
    <xdr:from>
      <xdr:col>3</xdr:col>
      <xdr:colOff>676275</xdr:colOff>
      <xdr:row>1</xdr:row>
      <xdr:rowOff>123825</xdr:rowOff>
    </xdr:from>
    <xdr:to>
      <xdr:col>4</xdr:col>
      <xdr:colOff>219075</xdr:colOff>
      <xdr:row>4</xdr:row>
      <xdr:rowOff>95250</xdr:rowOff>
    </xdr:to>
    <xdr:sp macro="" textlink="">
      <xdr:nvSpPr>
        <xdr:cNvPr id="3" name="CuadroTexto 2">
          <a:extLst>
            <a:ext uri="{FF2B5EF4-FFF2-40B4-BE49-F238E27FC236}">
              <a16:creationId xmlns:a16="http://schemas.microsoft.com/office/drawing/2014/main" id="{00000000-0008-0000-0600-000003000000}"/>
            </a:ext>
          </a:extLst>
        </xdr:cNvPr>
        <xdr:cNvSpPr txBox="1"/>
      </xdr:nvSpPr>
      <xdr:spPr>
        <a:xfrm>
          <a:off x="4371975" y="523875"/>
          <a:ext cx="1095375" cy="542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Whirpool</a:t>
          </a:r>
        </a:p>
      </xdr:txBody>
    </xdr:sp>
    <xdr:clientData/>
  </xdr:twoCellAnchor>
  <xdr:twoCellAnchor>
    <xdr:from>
      <xdr:col>4</xdr:col>
      <xdr:colOff>419100</xdr:colOff>
      <xdr:row>2</xdr:row>
      <xdr:rowOff>114300</xdr:rowOff>
    </xdr:from>
    <xdr:to>
      <xdr:col>4</xdr:col>
      <xdr:colOff>1304925</xdr:colOff>
      <xdr:row>2</xdr:row>
      <xdr:rowOff>114301</xdr:rowOff>
    </xdr:to>
    <xdr:cxnSp macro="">
      <xdr:nvCxnSpPr>
        <xdr:cNvPr id="8" name="Conector recto de flecha 7">
          <a:extLst>
            <a:ext uri="{FF2B5EF4-FFF2-40B4-BE49-F238E27FC236}">
              <a16:creationId xmlns:a16="http://schemas.microsoft.com/office/drawing/2014/main" id="{00000000-0008-0000-0600-000008000000}"/>
            </a:ext>
          </a:extLst>
        </xdr:cNvPr>
        <xdr:cNvCxnSpPr/>
      </xdr:nvCxnSpPr>
      <xdr:spPr>
        <a:xfrm>
          <a:off x="5667375" y="704850"/>
          <a:ext cx="885825" cy="1"/>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1228725</xdr:colOff>
      <xdr:row>2</xdr:row>
      <xdr:rowOff>114300</xdr:rowOff>
    </xdr:from>
    <xdr:to>
      <xdr:col>3</xdr:col>
      <xdr:colOff>514350</xdr:colOff>
      <xdr:row>2</xdr:row>
      <xdr:rowOff>114301</xdr:rowOff>
    </xdr:to>
    <xdr:cxnSp macro="">
      <xdr:nvCxnSpPr>
        <xdr:cNvPr id="9" name="Conector recto de flecha 8">
          <a:extLst>
            <a:ext uri="{FF2B5EF4-FFF2-40B4-BE49-F238E27FC236}">
              <a16:creationId xmlns:a16="http://schemas.microsoft.com/office/drawing/2014/main" id="{00000000-0008-0000-0600-000009000000}"/>
            </a:ext>
          </a:extLst>
        </xdr:cNvPr>
        <xdr:cNvCxnSpPr/>
      </xdr:nvCxnSpPr>
      <xdr:spPr>
        <a:xfrm>
          <a:off x="3324225" y="704850"/>
          <a:ext cx="885825" cy="1"/>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1209675</xdr:colOff>
      <xdr:row>4</xdr:row>
      <xdr:rowOff>123825</xdr:rowOff>
    </xdr:from>
    <xdr:to>
      <xdr:col>3</xdr:col>
      <xdr:colOff>1209675</xdr:colOff>
      <xdr:row>7</xdr:row>
      <xdr:rowOff>9525</xdr:rowOff>
    </xdr:to>
    <xdr:cxnSp macro="">
      <xdr:nvCxnSpPr>
        <xdr:cNvPr id="10" name="Conector recto de flecha 9">
          <a:extLst>
            <a:ext uri="{FF2B5EF4-FFF2-40B4-BE49-F238E27FC236}">
              <a16:creationId xmlns:a16="http://schemas.microsoft.com/office/drawing/2014/main" id="{00000000-0008-0000-0600-00000A000000}"/>
            </a:ext>
          </a:extLst>
        </xdr:cNvPr>
        <xdr:cNvCxnSpPr/>
      </xdr:nvCxnSpPr>
      <xdr:spPr>
        <a:xfrm>
          <a:off x="4905375" y="1095375"/>
          <a:ext cx="0" cy="457200"/>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552450</xdr:colOff>
      <xdr:row>0</xdr:row>
      <xdr:rowOff>371475</xdr:rowOff>
    </xdr:from>
    <xdr:to>
      <xdr:col>4</xdr:col>
      <xdr:colOff>1038225</xdr:colOff>
      <xdr:row>2</xdr:row>
      <xdr:rowOff>57150</xdr:rowOff>
    </xdr:to>
    <xdr:sp macro="" textlink="">
      <xdr:nvSpPr>
        <xdr:cNvPr id="13" name="CuadroTexto 12">
          <a:extLst>
            <a:ext uri="{FF2B5EF4-FFF2-40B4-BE49-F238E27FC236}">
              <a16:creationId xmlns:a16="http://schemas.microsoft.com/office/drawing/2014/main" id="{00000000-0008-0000-0600-00000D000000}"/>
            </a:ext>
          </a:extLst>
        </xdr:cNvPr>
        <xdr:cNvSpPr txBox="1"/>
      </xdr:nvSpPr>
      <xdr:spPr>
        <a:xfrm>
          <a:off x="5800725" y="371475"/>
          <a:ext cx="485775"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F</a:t>
          </a:r>
          <a:r>
            <a:rPr lang="es-ES" sz="800"/>
            <a:t>h,out</a:t>
          </a:r>
        </a:p>
      </xdr:txBody>
    </xdr:sp>
    <xdr:clientData/>
  </xdr:twoCellAnchor>
  <xdr:twoCellAnchor>
    <xdr:from>
      <xdr:col>2</xdr:col>
      <xdr:colOff>1285875</xdr:colOff>
      <xdr:row>0</xdr:row>
      <xdr:rowOff>333375</xdr:rowOff>
    </xdr:from>
    <xdr:to>
      <xdr:col>3</xdr:col>
      <xdr:colOff>171450</xdr:colOff>
      <xdr:row>2</xdr:row>
      <xdr:rowOff>19050</xdr:rowOff>
    </xdr:to>
    <xdr:sp macro="" textlink="">
      <xdr:nvSpPr>
        <xdr:cNvPr id="14" name="CuadroTexto 13">
          <a:extLst>
            <a:ext uri="{FF2B5EF4-FFF2-40B4-BE49-F238E27FC236}">
              <a16:creationId xmlns:a16="http://schemas.microsoft.com/office/drawing/2014/main" id="{00000000-0008-0000-0600-00000E000000}"/>
            </a:ext>
          </a:extLst>
        </xdr:cNvPr>
        <xdr:cNvSpPr txBox="1"/>
      </xdr:nvSpPr>
      <xdr:spPr>
        <a:xfrm>
          <a:off x="3381375" y="333375"/>
          <a:ext cx="485775"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F</a:t>
          </a:r>
          <a:r>
            <a:rPr lang="es-ES" sz="800"/>
            <a:t>h,in</a:t>
          </a:r>
        </a:p>
      </xdr:txBody>
    </xdr:sp>
    <xdr:clientData/>
  </xdr:twoCellAnchor>
  <xdr:twoCellAnchor>
    <xdr:from>
      <xdr:col>3</xdr:col>
      <xdr:colOff>1352550</xdr:colOff>
      <xdr:row>5</xdr:row>
      <xdr:rowOff>0</xdr:rowOff>
    </xdr:from>
    <xdr:to>
      <xdr:col>4</xdr:col>
      <xdr:colOff>285750</xdr:colOff>
      <xdr:row>6</xdr:row>
      <xdr:rowOff>85725</xdr:rowOff>
    </xdr:to>
    <xdr:sp macro="" textlink="">
      <xdr:nvSpPr>
        <xdr:cNvPr id="15" name="CuadroTexto 14">
          <a:extLst>
            <a:ext uri="{FF2B5EF4-FFF2-40B4-BE49-F238E27FC236}">
              <a16:creationId xmlns:a16="http://schemas.microsoft.com/office/drawing/2014/main" id="{00000000-0008-0000-0600-00000F000000}"/>
            </a:ext>
          </a:extLst>
        </xdr:cNvPr>
        <xdr:cNvSpPr txBox="1"/>
      </xdr:nvSpPr>
      <xdr:spPr>
        <a:xfrm>
          <a:off x="5048250" y="1162050"/>
          <a:ext cx="485775"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F</a:t>
          </a:r>
          <a:r>
            <a:rPr lang="es-ES" sz="800"/>
            <a:t>h,per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1397001</xdr:colOff>
      <xdr:row>3</xdr:row>
      <xdr:rowOff>104775</xdr:rowOff>
    </xdr:from>
    <xdr:to>
      <xdr:col>5</xdr:col>
      <xdr:colOff>1016001</xdr:colOff>
      <xdr:row>8</xdr:row>
      <xdr:rowOff>142875</xdr:rowOff>
    </xdr:to>
    <xdr:sp macro="" textlink="">
      <xdr:nvSpPr>
        <xdr:cNvPr id="2" name="CuadroTexto 1">
          <a:extLst>
            <a:ext uri="{FF2B5EF4-FFF2-40B4-BE49-F238E27FC236}">
              <a16:creationId xmlns:a16="http://schemas.microsoft.com/office/drawing/2014/main" id="{00000000-0008-0000-0900-000002000000}"/>
            </a:ext>
          </a:extLst>
        </xdr:cNvPr>
        <xdr:cNvSpPr txBox="1"/>
      </xdr:nvSpPr>
      <xdr:spPr>
        <a:xfrm>
          <a:off x="6524626" y="676275"/>
          <a:ext cx="3746500"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ES" sz="2000"/>
        </a:p>
        <a:p>
          <a:pPr algn="ctr"/>
          <a:r>
            <a:rPr lang="es-ES" sz="2000"/>
            <a:t>ENFRIAMIENTO</a:t>
          </a:r>
        </a:p>
      </xdr:txBody>
    </xdr:sp>
    <xdr:clientData/>
  </xdr:twoCellAnchor>
  <xdr:twoCellAnchor>
    <xdr:from>
      <xdr:col>1</xdr:col>
      <xdr:colOff>746125</xdr:colOff>
      <xdr:row>7</xdr:row>
      <xdr:rowOff>63500</xdr:rowOff>
    </xdr:from>
    <xdr:to>
      <xdr:col>3</xdr:col>
      <xdr:colOff>1381125</xdr:colOff>
      <xdr:row>7</xdr:row>
      <xdr:rowOff>63500</xdr:rowOff>
    </xdr:to>
    <xdr:cxnSp macro="">
      <xdr:nvCxnSpPr>
        <xdr:cNvPr id="3" name="Conector recto de flecha 2">
          <a:extLst>
            <a:ext uri="{FF2B5EF4-FFF2-40B4-BE49-F238E27FC236}">
              <a16:creationId xmlns:a16="http://schemas.microsoft.com/office/drawing/2014/main" id="{00000000-0008-0000-0900-000003000000}"/>
            </a:ext>
          </a:extLst>
        </xdr:cNvPr>
        <xdr:cNvCxnSpPr/>
      </xdr:nvCxnSpPr>
      <xdr:spPr>
        <a:xfrm>
          <a:off x="3190875" y="1397000"/>
          <a:ext cx="3317875"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5</xdr:col>
      <xdr:colOff>1025525</xdr:colOff>
      <xdr:row>7</xdr:row>
      <xdr:rowOff>107950</xdr:rowOff>
    </xdr:from>
    <xdr:to>
      <xdr:col>8</xdr:col>
      <xdr:colOff>539750</xdr:colOff>
      <xdr:row>7</xdr:row>
      <xdr:rowOff>111125</xdr:rowOff>
    </xdr:to>
    <xdr:cxnSp macro="">
      <xdr:nvCxnSpPr>
        <xdr:cNvPr id="4" name="Conector recto de flecha 3">
          <a:extLst>
            <a:ext uri="{FF2B5EF4-FFF2-40B4-BE49-F238E27FC236}">
              <a16:creationId xmlns:a16="http://schemas.microsoft.com/office/drawing/2014/main" id="{00000000-0008-0000-0900-000004000000}"/>
            </a:ext>
          </a:extLst>
        </xdr:cNvPr>
        <xdr:cNvCxnSpPr/>
      </xdr:nvCxnSpPr>
      <xdr:spPr>
        <a:xfrm>
          <a:off x="10280650" y="1441450"/>
          <a:ext cx="3022600" cy="3175"/>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1</xdr:col>
      <xdr:colOff>733425</xdr:colOff>
      <xdr:row>4</xdr:row>
      <xdr:rowOff>123825</xdr:rowOff>
    </xdr:from>
    <xdr:to>
      <xdr:col>3</xdr:col>
      <xdr:colOff>1365250</xdr:colOff>
      <xdr:row>4</xdr:row>
      <xdr:rowOff>127000</xdr:rowOff>
    </xdr:to>
    <xdr:cxnSp macro="">
      <xdr:nvCxnSpPr>
        <xdr:cNvPr id="5" name="Conector recto de flecha 4">
          <a:extLst>
            <a:ext uri="{FF2B5EF4-FFF2-40B4-BE49-F238E27FC236}">
              <a16:creationId xmlns:a16="http://schemas.microsoft.com/office/drawing/2014/main" id="{00000000-0008-0000-0900-000005000000}"/>
            </a:ext>
          </a:extLst>
        </xdr:cNvPr>
        <xdr:cNvCxnSpPr/>
      </xdr:nvCxnSpPr>
      <xdr:spPr>
        <a:xfrm flipH="1" flipV="1">
          <a:off x="3178175" y="885825"/>
          <a:ext cx="3314700" cy="3175"/>
        </a:xfrm>
        <a:prstGeom prst="straightConnector1">
          <a:avLst/>
        </a:prstGeom>
        <a:ln w="3810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1009651</xdr:colOff>
      <xdr:row>4</xdr:row>
      <xdr:rowOff>149225</xdr:rowOff>
    </xdr:from>
    <xdr:to>
      <xdr:col>8</xdr:col>
      <xdr:colOff>539750</xdr:colOff>
      <xdr:row>4</xdr:row>
      <xdr:rowOff>174625</xdr:rowOff>
    </xdr:to>
    <xdr:cxnSp macro="">
      <xdr:nvCxnSpPr>
        <xdr:cNvPr id="6" name="Conector recto de flecha 5">
          <a:extLst>
            <a:ext uri="{FF2B5EF4-FFF2-40B4-BE49-F238E27FC236}">
              <a16:creationId xmlns:a16="http://schemas.microsoft.com/office/drawing/2014/main" id="{00000000-0008-0000-0900-000006000000}"/>
            </a:ext>
          </a:extLst>
        </xdr:cNvPr>
        <xdr:cNvCxnSpPr/>
      </xdr:nvCxnSpPr>
      <xdr:spPr>
        <a:xfrm flipH="1" flipV="1">
          <a:off x="10264776" y="911225"/>
          <a:ext cx="3038474" cy="25400"/>
        </a:xfrm>
        <a:prstGeom prst="straightConnector1">
          <a:avLst/>
        </a:prstGeom>
        <a:ln w="3810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219075</xdr:colOff>
      <xdr:row>2</xdr:row>
      <xdr:rowOff>95250</xdr:rowOff>
    </xdr:from>
    <xdr:to>
      <xdr:col>3</xdr:col>
      <xdr:colOff>66674</xdr:colOff>
      <xdr:row>4</xdr:row>
      <xdr:rowOff>19050</xdr:rowOff>
    </xdr:to>
    <xdr:sp macro="" textlink="">
      <xdr:nvSpPr>
        <xdr:cNvPr id="7" name="CuadroTexto 6">
          <a:extLst>
            <a:ext uri="{FF2B5EF4-FFF2-40B4-BE49-F238E27FC236}">
              <a16:creationId xmlns:a16="http://schemas.microsoft.com/office/drawing/2014/main" id="{00000000-0008-0000-0900-000007000000}"/>
            </a:ext>
          </a:extLst>
        </xdr:cNvPr>
        <xdr:cNvSpPr txBox="1"/>
      </xdr:nvSpPr>
      <xdr:spPr>
        <a:xfrm>
          <a:off x="1743075" y="476250"/>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out,c</a:t>
          </a:r>
          <a:endParaRPr lang="es-ES" sz="1800" b="1"/>
        </a:p>
      </xdr:txBody>
    </xdr:sp>
    <xdr:clientData/>
  </xdr:twoCellAnchor>
  <xdr:twoCellAnchor>
    <xdr:from>
      <xdr:col>2</xdr:col>
      <xdr:colOff>295275</xdr:colOff>
      <xdr:row>7</xdr:row>
      <xdr:rowOff>95250</xdr:rowOff>
    </xdr:from>
    <xdr:to>
      <xdr:col>3</xdr:col>
      <xdr:colOff>142874</xdr:colOff>
      <xdr:row>9</xdr:row>
      <xdr:rowOff>19050</xdr:rowOff>
    </xdr:to>
    <xdr:sp macro="" textlink="">
      <xdr:nvSpPr>
        <xdr:cNvPr id="8" name="CuadroTexto 7">
          <a:extLst>
            <a:ext uri="{FF2B5EF4-FFF2-40B4-BE49-F238E27FC236}">
              <a16:creationId xmlns:a16="http://schemas.microsoft.com/office/drawing/2014/main" id="{00000000-0008-0000-0900-000008000000}"/>
            </a:ext>
          </a:extLst>
        </xdr:cNvPr>
        <xdr:cNvSpPr txBox="1"/>
      </xdr:nvSpPr>
      <xdr:spPr>
        <a:xfrm>
          <a:off x="1819275" y="1428750"/>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in,h</a:t>
          </a:r>
          <a:endParaRPr lang="es-ES" sz="1800" b="1"/>
        </a:p>
      </xdr:txBody>
    </xdr:sp>
    <xdr:clientData/>
  </xdr:twoCellAnchor>
  <xdr:twoCellAnchor>
    <xdr:from>
      <xdr:col>6</xdr:col>
      <xdr:colOff>222250</xdr:colOff>
      <xdr:row>2</xdr:row>
      <xdr:rowOff>15875</xdr:rowOff>
    </xdr:from>
    <xdr:to>
      <xdr:col>6</xdr:col>
      <xdr:colOff>831849</xdr:colOff>
      <xdr:row>3</xdr:row>
      <xdr:rowOff>130175</xdr:rowOff>
    </xdr:to>
    <xdr:sp macro="" textlink="">
      <xdr:nvSpPr>
        <xdr:cNvPr id="9" name="CuadroTexto 8">
          <a:extLst>
            <a:ext uri="{FF2B5EF4-FFF2-40B4-BE49-F238E27FC236}">
              <a16:creationId xmlns:a16="http://schemas.microsoft.com/office/drawing/2014/main" id="{00000000-0008-0000-0900-000009000000}"/>
            </a:ext>
          </a:extLst>
        </xdr:cNvPr>
        <xdr:cNvSpPr txBox="1"/>
      </xdr:nvSpPr>
      <xdr:spPr>
        <a:xfrm>
          <a:off x="11033125" y="396875"/>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in,c</a:t>
          </a:r>
          <a:endParaRPr lang="es-ES" sz="1800" b="1"/>
        </a:p>
      </xdr:txBody>
    </xdr:sp>
    <xdr:clientData/>
  </xdr:twoCellAnchor>
  <xdr:twoCellAnchor>
    <xdr:from>
      <xdr:col>6</xdr:col>
      <xdr:colOff>76200</xdr:colOff>
      <xdr:row>8</xdr:row>
      <xdr:rowOff>104775</xdr:rowOff>
    </xdr:from>
    <xdr:to>
      <xdr:col>6</xdr:col>
      <xdr:colOff>685799</xdr:colOff>
      <xdr:row>10</xdr:row>
      <xdr:rowOff>28575</xdr:rowOff>
    </xdr:to>
    <xdr:sp macro="" textlink="">
      <xdr:nvSpPr>
        <xdr:cNvPr id="10" name="CuadroTexto 9">
          <a:extLst>
            <a:ext uri="{FF2B5EF4-FFF2-40B4-BE49-F238E27FC236}">
              <a16:creationId xmlns:a16="http://schemas.microsoft.com/office/drawing/2014/main" id="{00000000-0008-0000-0900-00000A000000}"/>
            </a:ext>
          </a:extLst>
        </xdr:cNvPr>
        <xdr:cNvSpPr txBox="1"/>
      </xdr:nvSpPr>
      <xdr:spPr>
        <a:xfrm>
          <a:off x="10887075" y="1628775"/>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out,h</a:t>
          </a:r>
          <a:endParaRPr lang="es-ES" sz="1800" b="1"/>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2830286</xdr:colOff>
      <xdr:row>0</xdr:row>
      <xdr:rowOff>36286</xdr:rowOff>
    </xdr:from>
    <xdr:to>
      <xdr:col>2</xdr:col>
      <xdr:colOff>3616477</xdr:colOff>
      <xdr:row>6</xdr:row>
      <xdr:rowOff>0</xdr:rowOff>
    </xdr:to>
    <xdr:sp macro="" textlink="">
      <xdr:nvSpPr>
        <xdr:cNvPr id="2" name="Cilindro 1">
          <a:extLst>
            <a:ext uri="{FF2B5EF4-FFF2-40B4-BE49-F238E27FC236}">
              <a16:creationId xmlns:a16="http://schemas.microsoft.com/office/drawing/2014/main" id="{00000000-0008-0000-0700-000002000000}"/>
            </a:ext>
          </a:extLst>
        </xdr:cNvPr>
        <xdr:cNvSpPr/>
      </xdr:nvSpPr>
      <xdr:spPr>
        <a:xfrm>
          <a:off x="2287361" y="36286"/>
          <a:ext cx="0" cy="1106714"/>
        </a:xfrm>
        <a:prstGeom prst="ca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2</xdr:col>
      <xdr:colOff>2854477</xdr:colOff>
      <xdr:row>1</xdr:row>
      <xdr:rowOff>145142</xdr:rowOff>
    </xdr:from>
    <xdr:to>
      <xdr:col>2</xdr:col>
      <xdr:colOff>3592286</xdr:colOff>
      <xdr:row>2</xdr:row>
      <xdr:rowOff>36286</xdr:rowOff>
    </xdr:to>
    <xdr:cxnSp macro="">
      <xdr:nvCxnSpPr>
        <xdr:cNvPr id="3" name="Conector recto 2">
          <a:extLst>
            <a:ext uri="{FF2B5EF4-FFF2-40B4-BE49-F238E27FC236}">
              <a16:creationId xmlns:a16="http://schemas.microsoft.com/office/drawing/2014/main" id="{00000000-0008-0000-0700-000003000000}"/>
            </a:ext>
          </a:extLst>
        </xdr:cNvPr>
        <xdr:cNvCxnSpPr/>
      </xdr:nvCxnSpPr>
      <xdr:spPr>
        <a:xfrm>
          <a:off x="2282977" y="335642"/>
          <a:ext cx="4384" cy="8164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2878667</xdr:colOff>
      <xdr:row>1</xdr:row>
      <xdr:rowOff>24190</xdr:rowOff>
    </xdr:from>
    <xdr:to>
      <xdr:col>6</xdr:col>
      <xdr:colOff>4305905</xdr:colOff>
      <xdr:row>5</xdr:row>
      <xdr:rowOff>145142</xdr:rowOff>
    </xdr:to>
    <xdr:sp macro="" textlink="">
      <xdr:nvSpPr>
        <xdr:cNvPr id="4" name="Cilindro 3">
          <a:extLst>
            <a:ext uri="{FF2B5EF4-FFF2-40B4-BE49-F238E27FC236}">
              <a16:creationId xmlns:a16="http://schemas.microsoft.com/office/drawing/2014/main" id="{00000000-0008-0000-0700-000004000000}"/>
            </a:ext>
          </a:extLst>
        </xdr:cNvPr>
        <xdr:cNvSpPr/>
      </xdr:nvSpPr>
      <xdr:spPr>
        <a:xfrm>
          <a:off x="5336117" y="214690"/>
          <a:ext cx="0" cy="882952"/>
        </a:xfrm>
        <a:prstGeom prst="can">
          <a:avLst/>
        </a:pr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2</xdr:col>
      <xdr:colOff>3604381</xdr:colOff>
      <xdr:row>3</xdr:row>
      <xdr:rowOff>-1</xdr:rowOff>
    </xdr:from>
    <xdr:to>
      <xdr:col>6</xdr:col>
      <xdr:colOff>2878667</xdr:colOff>
      <xdr:row>3</xdr:row>
      <xdr:rowOff>36285</xdr:rowOff>
    </xdr:to>
    <xdr:cxnSp macro="">
      <xdr:nvCxnSpPr>
        <xdr:cNvPr id="5" name="Conector recto de flecha 4">
          <a:extLst>
            <a:ext uri="{FF2B5EF4-FFF2-40B4-BE49-F238E27FC236}">
              <a16:creationId xmlns:a16="http://schemas.microsoft.com/office/drawing/2014/main" id="{00000000-0008-0000-0700-000005000000}"/>
            </a:ext>
          </a:extLst>
        </xdr:cNvPr>
        <xdr:cNvCxnSpPr/>
      </xdr:nvCxnSpPr>
      <xdr:spPr>
        <a:xfrm flipV="1">
          <a:off x="2289931" y="571499"/>
          <a:ext cx="3046186" cy="36286"/>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3580191</xdr:colOff>
      <xdr:row>5</xdr:row>
      <xdr:rowOff>60477</xdr:rowOff>
    </xdr:from>
    <xdr:to>
      <xdr:col>6</xdr:col>
      <xdr:colOff>2806096</xdr:colOff>
      <xdr:row>5</xdr:row>
      <xdr:rowOff>120953</xdr:rowOff>
    </xdr:to>
    <xdr:cxnSp macro="">
      <xdr:nvCxnSpPr>
        <xdr:cNvPr id="6" name="Conector recto de flecha 5">
          <a:extLst>
            <a:ext uri="{FF2B5EF4-FFF2-40B4-BE49-F238E27FC236}">
              <a16:creationId xmlns:a16="http://schemas.microsoft.com/office/drawing/2014/main" id="{00000000-0008-0000-0700-000006000000}"/>
            </a:ext>
          </a:extLst>
        </xdr:cNvPr>
        <xdr:cNvCxnSpPr/>
      </xdr:nvCxnSpPr>
      <xdr:spPr>
        <a:xfrm flipH="1">
          <a:off x="2284791" y="1012977"/>
          <a:ext cx="3045430" cy="60476"/>
        </a:xfrm>
        <a:prstGeom prst="straightConnector1">
          <a:avLst/>
        </a:prstGeom>
        <a:ln>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737810</xdr:colOff>
      <xdr:row>1</xdr:row>
      <xdr:rowOff>108857</xdr:rowOff>
    </xdr:from>
    <xdr:to>
      <xdr:col>4</xdr:col>
      <xdr:colOff>762000</xdr:colOff>
      <xdr:row>2</xdr:row>
      <xdr:rowOff>120953</xdr:rowOff>
    </xdr:to>
    <xdr:sp macro="" textlink="">
      <xdr:nvSpPr>
        <xdr:cNvPr id="7" name="CuadroTexto 6">
          <a:extLst>
            <a:ext uri="{FF2B5EF4-FFF2-40B4-BE49-F238E27FC236}">
              <a16:creationId xmlns:a16="http://schemas.microsoft.com/office/drawing/2014/main" id="{00000000-0008-0000-0700-000007000000}"/>
            </a:ext>
          </a:extLst>
        </xdr:cNvPr>
        <xdr:cNvSpPr txBox="1"/>
      </xdr:nvSpPr>
      <xdr:spPr>
        <a:xfrm>
          <a:off x="3023810" y="299357"/>
          <a:ext cx="786190" cy="2025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t>Adiabático</a:t>
          </a:r>
        </a:p>
      </xdr:txBody>
    </xdr:sp>
    <xdr:clientData/>
  </xdr:twoCellAnchor>
  <xdr:twoCellAnchor>
    <xdr:from>
      <xdr:col>5</xdr:col>
      <xdr:colOff>604762</xdr:colOff>
      <xdr:row>4</xdr:row>
      <xdr:rowOff>12095</xdr:rowOff>
    </xdr:from>
    <xdr:to>
      <xdr:col>6</xdr:col>
      <xdr:colOff>677333</xdr:colOff>
      <xdr:row>5</xdr:row>
      <xdr:rowOff>24190</xdr:rowOff>
    </xdr:to>
    <xdr:sp macro="" textlink="">
      <xdr:nvSpPr>
        <xdr:cNvPr id="8" name="CuadroTexto 7">
          <a:extLst>
            <a:ext uri="{FF2B5EF4-FFF2-40B4-BE49-F238E27FC236}">
              <a16:creationId xmlns:a16="http://schemas.microsoft.com/office/drawing/2014/main" id="{00000000-0008-0000-0700-000008000000}"/>
            </a:ext>
          </a:extLst>
        </xdr:cNvPr>
        <xdr:cNvSpPr txBox="1"/>
      </xdr:nvSpPr>
      <xdr:spPr>
        <a:xfrm>
          <a:off x="4414762" y="774095"/>
          <a:ext cx="834571" cy="2025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t>Adiabático</a:t>
          </a:r>
        </a:p>
      </xdr:txBody>
    </xdr:sp>
    <xdr:clientData/>
  </xdr:twoCellAnchor>
  <xdr:twoCellAnchor>
    <xdr:from>
      <xdr:col>6</xdr:col>
      <xdr:colOff>4337352</xdr:colOff>
      <xdr:row>1</xdr:row>
      <xdr:rowOff>12095</xdr:rowOff>
    </xdr:from>
    <xdr:to>
      <xdr:col>6</xdr:col>
      <xdr:colOff>5660571</xdr:colOff>
      <xdr:row>2</xdr:row>
      <xdr:rowOff>60477</xdr:rowOff>
    </xdr:to>
    <xdr:sp macro="" textlink="">
      <xdr:nvSpPr>
        <xdr:cNvPr id="9" name="CuadroTexto 8">
          <a:extLst>
            <a:ext uri="{FF2B5EF4-FFF2-40B4-BE49-F238E27FC236}">
              <a16:creationId xmlns:a16="http://schemas.microsoft.com/office/drawing/2014/main" id="{00000000-0008-0000-0700-000009000000}"/>
            </a:ext>
          </a:extLst>
        </xdr:cNvPr>
        <xdr:cNvSpPr txBox="1"/>
      </xdr:nvSpPr>
      <xdr:spPr>
        <a:xfrm>
          <a:off x="5337477" y="202595"/>
          <a:ext cx="0" cy="23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t>Macerador/cocción</a:t>
          </a:r>
        </a:p>
        <a:p>
          <a:endParaRPr lang="es-CL" sz="1100"/>
        </a:p>
      </xdr:txBody>
    </xdr:sp>
    <xdr:clientData/>
  </xdr:twoCellAnchor>
  <xdr:twoCellAnchor>
    <xdr:from>
      <xdr:col>2</xdr:col>
      <xdr:colOff>2148115</xdr:colOff>
      <xdr:row>0</xdr:row>
      <xdr:rowOff>128208</xdr:rowOff>
    </xdr:from>
    <xdr:to>
      <xdr:col>2</xdr:col>
      <xdr:colOff>2777067</xdr:colOff>
      <xdr:row>1</xdr:row>
      <xdr:rowOff>164493</xdr:rowOff>
    </xdr:to>
    <xdr:sp macro="" textlink="">
      <xdr:nvSpPr>
        <xdr:cNvPr id="10" name="CuadroTexto 9">
          <a:extLst>
            <a:ext uri="{FF2B5EF4-FFF2-40B4-BE49-F238E27FC236}">
              <a16:creationId xmlns:a16="http://schemas.microsoft.com/office/drawing/2014/main" id="{00000000-0008-0000-0700-00000A000000}"/>
            </a:ext>
          </a:extLst>
        </xdr:cNvPr>
        <xdr:cNvSpPr txBox="1"/>
      </xdr:nvSpPr>
      <xdr:spPr>
        <a:xfrm>
          <a:off x="2281465" y="128208"/>
          <a:ext cx="302" cy="2267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t>Caldera</a:t>
          </a:r>
        </a:p>
        <a:p>
          <a:endParaRPr lang="es-CL" sz="1100"/>
        </a:p>
      </xdr:txBody>
    </xdr:sp>
    <xdr:clientData/>
  </xdr:twoCellAnchor>
  <xdr:twoCellAnchor>
    <xdr:from>
      <xdr:col>6</xdr:col>
      <xdr:colOff>1949753</xdr:colOff>
      <xdr:row>0</xdr:row>
      <xdr:rowOff>171753</xdr:rowOff>
    </xdr:from>
    <xdr:to>
      <xdr:col>6</xdr:col>
      <xdr:colOff>2854476</xdr:colOff>
      <xdr:row>2</xdr:row>
      <xdr:rowOff>48382</xdr:rowOff>
    </xdr:to>
    <xdr:sp macro="" textlink="">
      <xdr:nvSpPr>
        <xdr:cNvPr id="11" name="CuadroTexto 10">
          <a:extLst>
            <a:ext uri="{FF2B5EF4-FFF2-40B4-BE49-F238E27FC236}">
              <a16:creationId xmlns:a16="http://schemas.microsoft.com/office/drawing/2014/main" id="{00000000-0008-0000-0700-00000B000000}"/>
            </a:ext>
          </a:extLst>
        </xdr:cNvPr>
        <xdr:cNvSpPr txBox="1"/>
      </xdr:nvSpPr>
      <xdr:spPr>
        <a:xfrm>
          <a:off x="5331128" y="171753"/>
          <a:ext cx="0" cy="2576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t>Fv,in,mac</a:t>
          </a:r>
        </a:p>
        <a:p>
          <a:endParaRPr lang="es-CL" sz="1100"/>
        </a:p>
        <a:p>
          <a:endParaRPr lang="es-CL" sz="1100"/>
        </a:p>
      </xdr:txBody>
    </xdr:sp>
    <xdr:clientData/>
  </xdr:twoCellAnchor>
  <xdr:twoCellAnchor>
    <xdr:from>
      <xdr:col>6</xdr:col>
      <xdr:colOff>1969105</xdr:colOff>
      <xdr:row>5</xdr:row>
      <xdr:rowOff>94342</xdr:rowOff>
    </xdr:from>
    <xdr:to>
      <xdr:col>6</xdr:col>
      <xdr:colOff>2873828</xdr:colOff>
      <xdr:row>6</xdr:row>
      <xdr:rowOff>152400</xdr:rowOff>
    </xdr:to>
    <xdr:sp macro="" textlink="">
      <xdr:nvSpPr>
        <xdr:cNvPr id="12" name="CuadroTexto 11">
          <a:extLst>
            <a:ext uri="{FF2B5EF4-FFF2-40B4-BE49-F238E27FC236}">
              <a16:creationId xmlns:a16="http://schemas.microsoft.com/office/drawing/2014/main" id="{00000000-0008-0000-0700-00000C000000}"/>
            </a:ext>
          </a:extLst>
        </xdr:cNvPr>
        <xdr:cNvSpPr txBox="1"/>
      </xdr:nvSpPr>
      <xdr:spPr>
        <a:xfrm>
          <a:off x="5331430" y="1046842"/>
          <a:ext cx="0" cy="2485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t>Fv,out,mac</a:t>
          </a:r>
        </a:p>
        <a:p>
          <a:endParaRPr lang="es-CL" sz="1100"/>
        </a:p>
        <a:p>
          <a:endParaRPr lang="es-CL" sz="1100"/>
        </a:p>
      </xdr:txBody>
    </xdr:sp>
    <xdr:clientData/>
  </xdr:twoCellAnchor>
  <xdr:twoCellAnchor>
    <xdr:from>
      <xdr:col>7</xdr:col>
      <xdr:colOff>2322286</xdr:colOff>
      <xdr:row>3</xdr:row>
      <xdr:rowOff>48381</xdr:rowOff>
    </xdr:from>
    <xdr:to>
      <xdr:col>7</xdr:col>
      <xdr:colOff>2830286</xdr:colOff>
      <xdr:row>6</xdr:row>
      <xdr:rowOff>96762</xdr:rowOff>
    </xdr:to>
    <xdr:sp macro="" textlink="">
      <xdr:nvSpPr>
        <xdr:cNvPr id="13" name="Cilindro 12">
          <a:extLst>
            <a:ext uri="{FF2B5EF4-FFF2-40B4-BE49-F238E27FC236}">
              <a16:creationId xmlns:a16="http://schemas.microsoft.com/office/drawing/2014/main" id="{00000000-0008-0000-0700-00000D000000}"/>
            </a:ext>
          </a:extLst>
        </xdr:cNvPr>
        <xdr:cNvSpPr/>
      </xdr:nvSpPr>
      <xdr:spPr>
        <a:xfrm>
          <a:off x="6094186" y="619881"/>
          <a:ext cx="3175" cy="619881"/>
        </a:xfrm>
        <a:prstGeom prst="ca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7</xdr:col>
      <xdr:colOff>1185332</xdr:colOff>
      <xdr:row>6</xdr:row>
      <xdr:rowOff>24191</xdr:rowOff>
    </xdr:from>
    <xdr:to>
      <xdr:col>7</xdr:col>
      <xdr:colOff>2273904</xdr:colOff>
      <xdr:row>6</xdr:row>
      <xdr:rowOff>24191</xdr:rowOff>
    </xdr:to>
    <xdr:cxnSp macro="">
      <xdr:nvCxnSpPr>
        <xdr:cNvPr id="14" name="Conector recto de flecha 13">
          <a:extLst>
            <a:ext uri="{FF2B5EF4-FFF2-40B4-BE49-F238E27FC236}">
              <a16:creationId xmlns:a16="http://schemas.microsoft.com/office/drawing/2014/main" id="{00000000-0008-0000-0700-00000E000000}"/>
            </a:ext>
          </a:extLst>
        </xdr:cNvPr>
        <xdr:cNvCxnSpPr/>
      </xdr:nvCxnSpPr>
      <xdr:spPr>
        <a:xfrm>
          <a:off x="6100232" y="1167191"/>
          <a:ext cx="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2498875</xdr:colOff>
      <xdr:row>1</xdr:row>
      <xdr:rowOff>36285</xdr:rowOff>
    </xdr:from>
    <xdr:to>
      <xdr:col>7</xdr:col>
      <xdr:colOff>2503714</xdr:colOff>
      <xdr:row>3</xdr:row>
      <xdr:rowOff>43543</xdr:rowOff>
    </xdr:to>
    <xdr:cxnSp macro="">
      <xdr:nvCxnSpPr>
        <xdr:cNvPr id="15" name="Conector recto de flecha 14">
          <a:extLst>
            <a:ext uri="{FF2B5EF4-FFF2-40B4-BE49-F238E27FC236}">
              <a16:creationId xmlns:a16="http://schemas.microsoft.com/office/drawing/2014/main" id="{00000000-0008-0000-0700-00000F000000}"/>
            </a:ext>
          </a:extLst>
        </xdr:cNvPr>
        <xdr:cNvCxnSpPr/>
      </xdr:nvCxnSpPr>
      <xdr:spPr>
        <a:xfrm flipV="1">
          <a:off x="6099325" y="226785"/>
          <a:ext cx="0" cy="38825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1197428</xdr:colOff>
      <xdr:row>4</xdr:row>
      <xdr:rowOff>0</xdr:rowOff>
    </xdr:from>
    <xdr:to>
      <xdr:col>7</xdr:col>
      <xdr:colOff>2237618</xdr:colOff>
      <xdr:row>5</xdr:row>
      <xdr:rowOff>108857</xdr:rowOff>
    </xdr:to>
    <xdr:sp macro="" textlink="">
      <xdr:nvSpPr>
        <xdr:cNvPr id="16" name="CuadroTexto 15">
          <a:extLst>
            <a:ext uri="{FF2B5EF4-FFF2-40B4-BE49-F238E27FC236}">
              <a16:creationId xmlns:a16="http://schemas.microsoft.com/office/drawing/2014/main" id="{00000000-0008-0000-0700-000010000000}"/>
            </a:ext>
          </a:extLst>
        </xdr:cNvPr>
        <xdr:cNvSpPr txBox="1"/>
      </xdr:nvSpPr>
      <xdr:spPr>
        <a:xfrm>
          <a:off x="6093278" y="762000"/>
          <a:ext cx="1965" cy="2993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a:t>Biomasa + aire</a:t>
          </a:r>
        </a:p>
        <a:p>
          <a:endParaRPr lang="es-CL" sz="1100"/>
        </a:p>
      </xdr:txBody>
    </xdr:sp>
    <xdr:clientData/>
  </xdr:twoCellAnchor>
  <xdr:twoCellAnchor>
    <xdr:from>
      <xdr:col>7</xdr:col>
      <xdr:colOff>2607733</xdr:colOff>
      <xdr:row>1</xdr:row>
      <xdr:rowOff>79828</xdr:rowOff>
    </xdr:from>
    <xdr:to>
      <xdr:col>7</xdr:col>
      <xdr:colOff>3955143</xdr:colOff>
      <xdr:row>2</xdr:row>
      <xdr:rowOff>145143</xdr:rowOff>
    </xdr:to>
    <xdr:sp macro="" textlink="">
      <xdr:nvSpPr>
        <xdr:cNvPr id="17" name="CuadroTexto 16">
          <a:extLst>
            <a:ext uri="{FF2B5EF4-FFF2-40B4-BE49-F238E27FC236}">
              <a16:creationId xmlns:a16="http://schemas.microsoft.com/office/drawing/2014/main" id="{00000000-0008-0000-0700-000011000000}"/>
            </a:ext>
          </a:extLst>
        </xdr:cNvPr>
        <xdr:cNvSpPr txBox="1"/>
      </xdr:nvSpPr>
      <xdr:spPr>
        <a:xfrm>
          <a:off x="6093883" y="270328"/>
          <a:ext cx="4385" cy="2558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a:t>CO2 + H2O + aire</a:t>
          </a:r>
        </a:p>
        <a:p>
          <a:endParaRPr lang="es-CL" sz="1100"/>
        </a:p>
        <a:p>
          <a:endParaRPr lang="es-CL" sz="1100"/>
        </a:p>
      </xdr:txBody>
    </xdr:sp>
    <xdr:clientData/>
  </xdr:twoCellAnchor>
</xdr:wsDr>
</file>

<file path=xl/drawings/drawing14.xml><?xml version="1.0" encoding="utf-8"?>
<xdr:wsDr xmlns:xdr="http://schemas.openxmlformats.org/drawingml/2006/spreadsheetDrawing" xmlns:a="http://schemas.openxmlformats.org/drawingml/2006/main">
  <xdr:oneCellAnchor>
    <xdr:from>
      <xdr:col>0</xdr:col>
      <xdr:colOff>85725</xdr:colOff>
      <xdr:row>44</xdr:row>
      <xdr:rowOff>76200</xdr:rowOff>
    </xdr:from>
    <xdr:ext cx="65" cy="172227"/>
    <xdr:sp macro="" textlink="">
      <xdr:nvSpPr>
        <xdr:cNvPr id="4" name="CuadroTexto 3">
          <a:extLst>
            <a:ext uri="{FF2B5EF4-FFF2-40B4-BE49-F238E27FC236}">
              <a16:creationId xmlns:a16="http://schemas.microsoft.com/office/drawing/2014/main" id="{00000000-0008-0000-0A00-000004000000}"/>
            </a:ext>
          </a:extLst>
        </xdr:cNvPr>
        <xdr:cNvSpPr txBox="1"/>
      </xdr:nvSpPr>
      <xdr:spPr>
        <a:xfrm>
          <a:off x="85725" y="61722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1</xdr:col>
      <xdr:colOff>685800</xdr:colOff>
      <xdr:row>47</xdr:row>
      <xdr:rowOff>2486</xdr:rowOff>
    </xdr:from>
    <xdr:to>
      <xdr:col>4</xdr:col>
      <xdr:colOff>4912830</xdr:colOff>
      <xdr:row>51</xdr:row>
      <xdr:rowOff>2486</xdr:rowOff>
    </xdr:to>
    <mc:AlternateContent xmlns:mc="http://schemas.openxmlformats.org/markup-compatibility/2006" xmlns:a14="http://schemas.microsoft.com/office/drawing/2010/main">
      <mc:Choice Requires="a14">
        <xdr:sp macro="" textlink="">
          <xdr:nvSpPr>
            <xdr:cNvPr id="8" name="CuadroTexto 7">
              <a:extLst>
                <a:ext uri="{FF2B5EF4-FFF2-40B4-BE49-F238E27FC236}">
                  <a16:creationId xmlns:a16="http://schemas.microsoft.com/office/drawing/2014/main" id="{00000000-0008-0000-0A00-000008000000}"/>
                </a:ext>
              </a:extLst>
            </xdr:cNvPr>
            <xdr:cNvSpPr txBox="1"/>
          </xdr:nvSpPr>
          <xdr:spPr>
            <a:xfrm>
              <a:off x="4048125" y="8955986"/>
              <a:ext cx="860853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f>
                      <m:fPr>
                        <m:ctrlPr>
                          <a:rPr lang="es-ES" sz="1100" i="1">
                            <a:solidFill>
                              <a:schemeClr val="dk1"/>
                            </a:solidFill>
                            <a:effectLst/>
                            <a:latin typeface="Cambria Math" panose="02040503050406030204" pitchFamily="18" charset="0"/>
                            <a:ea typeface="+mn-ea"/>
                            <a:cs typeface="+mn-cs"/>
                          </a:rPr>
                        </m:ctrlPr>
                      </m:fPr>
                      <m:num>
                        <m:r>
                          <a:rPr lang="es-ES" sz="1100" i="1">
                            <a:solidFill>
                              <a:schemeClr val="dk1"/>
                            </a:solidFill>
                            <a:effectLst/>
                            <a:latin typeface="Cambria Math" panose="02040503050406030204" pitchFamily="18" charset="0"/>
                            <a:ea typeface="+mn-ea"/>
                            <a:cs typeface="+mn-cs"/>
                          </a:rPr>
                          <m:t>𝑑</m:t>
                        </m:r>
                        <m:r>
                          <a:rPr lang="es-ES" sz="1100" b="0" i="1">
                            <a:solidFill>
                              <a:schemeClr val="dk1"/>
                            </a:solidFill>
                            <a:effectLst/>
                            <a:latin typeface="Cambria Math" panose="02040503050406030204" pitchFamily="18" charset="0"/>
                            <a:ea typeface="+mn-ea"/>
                            <a:cs typeface="+mn-cs"/>
                          </a:rPr>
                          <m:t>𝑥</m:t>
                        </m:r>
                      </m:num>
                      <m:den>
                        <m:r>
                          <a:rPr lang="es-ES" sz="1100" i="1">
                            <a:solidFill>
                              <a:schemeClr val="dk1"/>
                            </a:solidFill>
                            <a:effectLst/>
                            <a:latin typeface="Cambria Math" panose="02040503050406030204" pitchFamily="18" charset="0"/>
                            <a:ea typeface="+mn-ea"/>
                            <a:cs typeface="+mn-cs"/>
                          </a:rPr>
                          <m:t>𝑑</m:t>
                        </m:r>
                        <m:r>
                          <a:rPr lang="es-ES" sz="1100" b="0" i="1">
                            <a:solidFill>
                              <a:schemeClr val="dk1"/>
                            </a:solidFill>
                            <a:effectLst/>
                            <a:latin typeface="Cambria Math" panose="02040503050406030204" pitchFamily="18" charset="0"/>
                            <a:ea typeface="+mn-ea"/>
                            <a:cs typeface="+mn-cs"/>
                          </a:rPr>
                          <m:t>𝑡</m:t>
                        </m:r>
                      </m:den>
                    </m:f>
                    <m:r>
                      <a:rPr lang="es-ES" sz="1100" b="0" i="1">
                        <a:solidFill>
                          <a:schemeClr val="dk1"/>
                        </a:solidFill>
                        <a:effectLst/>
                        <a:latin typeface="Cambria Math" panose="02040503050406030204" pitchFamily="18" charset="0"/>
                        <a:ea typeface="+mn-ea"/>
                        <a:cs typeface="+mn-cs"/>
                      </a:rPr>
                      <m:t>=</m:t>
                    </m:r>
                    <m:d>
                      <m:dPr>
                        <m:ctrlPr>
                          <a:rPr lang="es-ES" sz="1100" b="0" i="1">
                            <a:solidFill>
                              <a:schemeClr val="dk1"/>
                            </a:solidFill>
                            <a:effectLst/>
                            <a:latin typeface="Cambria Math" panose="02040503050406030204" pitchFamily="18" charset="0"/>
                            <a:ea typeface="+mn-ea"/>
                            <a:cs typeface="+mn-cs"/>
                          </a:rPr>
                        </m:ctrlPr>
                      </m:dPr>
                      <m:e>
                        <m:d>
                          <m:dPr>
                            <m:ctrlPr>
                              <a:rPr lang="es-ES" sz="1100" b="0" i="1">
                                <a:solidFill>
                                  <a:schemeClr val="dk1"/>
                                </a:solidFill>
                                <a:effectLst/>
                                <a:latin typeface="Cambria Math" panose="02040503050406030204" pitchFamily="18" charset="0"/>
                                <a:ea typeface="+mn-ea"/>
                                <a:cs typeface="+mn-cs"/>
                              </a:rPr>
                            </m:ctrlPr>
                          </m:dPr>
                          <m:e>
                            <m:f>
                              <m:fPr>
                                <m:ctrlPr>
                                  <a:rPr lang="es-ES" sz="1100" b="0" i="1">
                                    <a:solidFill>
                                      <a:schemeClr val="dk1"/>
                                    </a:solidFill>
                                    <a:effectLst/>
                                    <a:latin typeface="Cambria Math" panose="02040503050406030204" pitchFamily="18" charset="0"/>
                                    <a:ea typeface="+mn-ea"/>
                                    <a:cs typeface="+mn-cs"/>
                                  </a:rPr>
                                </m:ctrlPr>
                              </m:fPr>
                              <m:num>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𝜇</m:t>
                                    </m:r>
                                  </m:e>
                                  <m:sub>
                                    <m:r>
                                      <a:rPr lang="es-ES" sz="1100" b="0" i="1">
                                        <a:solidFill>
                                          <a:schemeClr val="dk1"/>
                                        </a:solidFill>
                                        <a:effectLst/>
                                        <a:latin typeface="Cambria Math" panose="02040503050406030204" pitchFamily="18" charset="0"/>
                                        <a:ea typeface="+mn-ea"/>
                                        <a:cs typeface="+mn-cs"/>
                                      </a:rPr>
                                      <m:t>𝑔</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𝐺</m:t>
                                </m:r>
                                <m:r>
                                  <a:rPr lang="es-ES" sz="1100" b="0" i="1">
                                    <a:solidFill>
                                      <a:schemeClr val="dk1"/>
                                    </a:solidFill>
                                    <a:effectLst/>
                                    <a:latin typeface="Cambria Math" panose="02040503050406030204" pitchFamily="18" charset="0"/>
                                    <a:ea typeface="+mn-ea"/>
                                    <a:cs typeface="+mn-cs"/>
                                  </a:rPr>
                                  <m:t>∗</m:t>
                                </m:r>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𝑌</m:t>
                                    </m:r>
                                  </m:e>
                                  <m:sub>
                                    <m:f>
                                      <m:fPr>
                                        <m:ctrlPr>
                                          <a:rPr lang="es-ES" sz="1100" b="0" i="1">
                                            <a:solidFill>
                                              <a:schemeClr val="dk1"/>
                                            </a:solidFill>
                                            <a:effectLst/>
                                            <a:latin typeface="Cambria Math" panose="02040503050406030204" pitchFamily="18" charset="0"/>
                                            <a:ea typeface="+mn-ea"/>
                                            <a:cs typeface="+mn-cs"/>
                                          </a:rPr>
                                        </m:ctrlPr>
                                      </m:fPr>
                                      <m:num>
                                        <m:r>
                                          <a:rPr lang="es-ES" sz="1100" b="0" i="1">
                                            <a:solidFill>
                                              <a:schemeClr val="dk1"/>
                                            </a:solidFill>
                                            <a:effectLst/>
                                            <a:latin typeface="Cambria Math" panose="02040503050406030204" pitchFamily="18" charset="0"/>
                                            <a:ea typeface="+mn-ea"/>
                                            <a:cs typeface="+mn-cs"/>
                                          </a:rPr>
                                          <m:t>𝑥</m:t>
                                        </m:r>
                                      </m:num>
                                      <m:den>
                                        <m:r>
                                          <a:rPr lang="es-ES" sz="1100" b="0" i="1">
                                            <a:solidFill>
                                              <a:schemeClr val="dk1"/>
                                            </a:solidFill>
                                            <a:effectLst/>
                                            <a:latin typeface="Cambria Math" panose="02040503050406030204" pitchFamily="18" charset="0"/>
                                            <a:ea typeface="+mn-ea"/>
                                            <a:cs typeface="+mn-cs"/>
                                          </a:rPr>
                                          <m:t>𝑔</m:t>
                                        </m:r>
                                      </m:den>
                                    </m:f>
                                  </m:sub>
                                </m:sSub>
                              </m:num>
                              <m:den>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𝑘</m:t>
                                    </m:r>
                                  </m:e>
                                  <m:sub>
                                    <m:r>
                                      <a:rPr lang="es-ES" sz="1100" b="0" i="1">
                                        <a:solidFill>
                                          <a:schemeClr val="dk1"/>
                                        </a:solidFill>
                                        <a:effectLst/>
                                        <a:latin typeface="Cambria Math" panose="02040503050406030204" pitchFamily="18" charset="0"/>
                                        <a:ea typeface="+mn-ea"/>
                                        <a:cs typeface="+mn-cs"/>
                                      </a:rPr>
                                      <m:t>𝑔</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𝐺</m:t>
                                </m:r>
                              </m:den>
                            </m:f>
                          </m:e>
                        </m:d>
                        <m:r>
                          <a:rPr lang="es-ES" sz="1100" b="0" i="1">
                            <a:solidFill>
                              <a:schemeClr val="dk1"/>
                            </a:solidFill>
                            <a:effectLst/>
                            <a:latin typeface="Cambria Math" panose="02040503050406030204" pitchFamily="18" charset="0"/>
                            <a:ea typeface="+mn-ea"/>
                            <a:cs typeface="+mn-cs"/>
                          </a:rPr>
                          <m:t>+</m:t>
                        </m:r>
                        <m:d>
                          <m:dPr>
                            <m:ctrlPr>
                              <a:rPr lang="es-ES" sz="1100" b="0" i="1">
                                <a:solidFill>
                                  <a:schemeClr val="dk1"/>
                                </a:solidFill>
                                <a:effectLst/>
                                <a:latin typeface="Cambria Math" panose="02040503050406030204" pitchFamily="18" charset="0"/>
                                <a:ea typeface="+mn-ea"/>
                                <a:cs typeface="+mn-cs"/>
                              </a:rPr>
                            </m:ctrlPr>
                          </m:dPr>
                          <m:e>
                            <m:f>
                              <m:fPr>
                                <m:ctrlPr>
                                  <a:rPr lang="es-ES" sz="1100" b="0" i="1">
                                    <a:solidFill>
                                      <a:schemeClr val="dk1"/>
                                    </a:solidFill>
                                    <a:effectLst/>
                                    <a:latin typeface="Cambria Math" panose="02040503050406030204" pitchFamily="18" charset="0"/>
                                    <a:ea typeface="+mn-ea"/>
                                    <a:cs typeface="+mn-cs"/>
                                  </a:rPr>
                                </m:ctrlPr>
                              </m:fPr>
                              <m:num>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𝜇</m:t>
                                    </m:r>
                                  </m:e>
                                  <m:sub>
                                    <m:r>
                                      <a:rPr lang="es-ES" sz="1100" b="0" i="1">
                                        <a:solidFill>
                                          <a:schemeClr val="dk1"/>
                                        </a:solidFill>
                                        <a:effectLst/>
                                        <a:latin typeface="Cambria Math" panose="02040503050406030204" pitchFamily="18" charset="0"/>
                                        <a:ea typeface="+mn-ea"/>
                                        <a:cs typeface="+mn-cs"/>
                                      </a:rPr>
                                      <m:t>𝑚</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𝑀</m:t>
                                </m:r>
                                <m:r>
                                  <a:rPr lang="es-ES" sz="1100" b="0" i="1">
                                    <a:solidFill>
                                      <a:schemeClr val="dk1"/>
                                    </a:solidFill>
                                    <a:effectLst/>
                                    <a:latin typeface="Cambria Math" panose="02040503050406030204" pitchFamily="18" charset="0"/>
                                    <a:ea typeface="+mn-ea"/>
                                    <a:cs typeface="+mn-cs"/>
                                  </a:rPr>
                                  <m:t>∗</m:t>
                                </m:r>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𝑌</m:t>
                                    </m:r>
                                  </m:e>
                                  <m:sub>
                                    <m:f>
                                      <m:fPr>
                                        <m:ctrlPr>
                                          <a:rPr lang="es-ES" sz="1100" b="0" i="1">
                                            <a:solidFill>
                                              <a:schemeClr val="dk1"/>
                                            </a:solidFill>
                                            <a:effectLst/>
                                            <a:latin typeface="Cambria Math" panose="02040503050406030204" pitchFamily="18" charset="0"/>
                                            <a:ea typeface="+mn-ea"/>
                                            <a:cs typeface="+mn-cs"/>
                                          </a:rPr>
                                        </m:ctrlPr>
                                      </m:fPr>
                                      <m:num>
                                        <m:r>
                                          <a:rPr lang="es-ES" sz="1100" b="0" i="1">
                                            <a:solidFill>
                                              <a:schemeClr val="dk1"/>
                                            </a:solidFill>
                                            <a:effectLst/>
                                            <a:latin typeface="Cambria Math" panose="02040503050406030204" pitchFamily="18" charset="0"/>
                                            <a:ea typeface="+mn-ea"/>
                                            <a:cs typeface="+mn-cs"/>
                                          </a:rPr>
                                          <m:t>𝑥</m:t>
                                        </m:r>
                                      </m:num>
                                      <m:den>
                                        <m:r>
                                          <a:rPr lang="es-ES" sz="1100" b="0" i="1">
                                            <a:solidFill>
                                              <a:schemeClr val="dk1"/>
                                            </a:solidFill>
                                            <a:effectLst/>
                                            <a:latin typeface="Cambria Math" panose="02040503050406030204" pitchFamily="18" charset="0"/>
                                            <a:ea typeface="+mn-ea"/>
                                            <a:cs typeface="+mn-cs"/>
                                          </a:rPr>
                                          <m:t>𝑚</m:t>
                                        </m:r>
                                      </m:den>
                                    </m:f>
                                  </m:sub>
                                </m:sSub>
                              </m:num>
                              <m:den>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𝑘</m:t>
                                    </m:r>
                                  </m:e>
                                  <m:sub>
                                    <m:r>
                                      <a:rPr lang="es-ES" sz="1100" b="0" i="1">
                                        <a:solidFill>
                                          <a:schemeClr val="dk1"/>
                                        </a:solidFill>
                                        <a:effectLst/>
                                        <a:latin typeface="Cambria Math" panose="02040503050406030204" pitchFamily="18" charset="0"/>
                                        <a:ea typeface="+mn-ea"/>
                                        <a:cs typeface="+mn-cs"/>
                                      </a:rPr>
                                      <m:t>𝑚</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𝑀</m:t>
                                </m:r>
                              </m:den>
                            </m:f>
                          </m:e>
                        </m:d>
                        <m:r>
                          <a:rPr lang="es-ES" sz="1100" b="0" i="1">
                            <a:solidFill>
                              <a:schemeClr val="dk1"/>
                            </a:solidFill>
                            <a:effectLst/>
                            <a:latin typeface="Cambria Math" panose="02040503050406030204" pitchFamily="18" charset="0"/>
                            <a:ea typeface="+mn-ea"/>
                            <a:cs typeface="+mn-cs"/>
                          </a:rPr>
                          <m:t>∗</m:t>
                        </m:r>
                        <m:d>
                          <m:dPr>
                            <m:ctrlPr>
                              <a:rPr lang="es-ES" sz="1100" b="0" i="1">
                                <a:solidFill>
                                  <a:schemeClr val="dk1"/>
                                </a:solidFill>
                                <a:effectLst/>
                                <a:latin typeface="Cambria Math" panose="02040503050406030204" pitchFamily="18" charset="0"/>
                                <a:ea typeface="+mn-ea"/>
                                <a:cs typeface="+mn-cs"/>
                              </a:rPr>
                            </m:ctrlPr>
                          </m:dPr>
                          <m:e>
                            <m:f>
                              <m:fPr>
                                <m:ctrlPr>
                                  <a:rPr lang="es-ES" sz="1100" b="0" i="1">
                                    <a:solidFill>
                                      <a:schemeClr val="dk1"/>
                                    </a:solidFill>
                                    <a:effectLst/>
                                    <a:latin typeface="Cambria Math" panose="02040503050406030204" pitchFamily="18" charset="0"/>
                                    <a:ea typeface="+mn-ea"/>
                                    <a:cs typeface="+mn-cs"/>
                                  </a:rPr>
                                </m:ctrlPr>
                              </m:fPr>
                              <m:num>
                                <m:sSub>
                                  <m:sSubPr>
                                    <m:ctrlPr>
                                      <a:rPr lang="es-ES" sz="1100" b="0" i="1">
                                        <a:solidFill>
                                          <a:schemeClr val="dk1"/>
                                        </a:solidFill>
                                        <a:effectLst/>
                                        <a:latin typeface="Cambria Math" panose="02040503050406030204" pitchFamily="18" charset="0"/>
                                        <a:ea typeface="+mn-ea"/>
                                        <a:cs typeface="+mn-cs"/>
                                      </a:rPr>
                                    </m:ctrlPr>
                                  </m:sSubPr>
                                  <m:e>
                                    <m:sSup>
                                      <m:sSupPr>
                                        <m:ctrlPr>
                                          <a:rPr lang="es-ES" sz="1100" b="0" i="1">
                                            <a:solidFill>
                                              <a:schemeClr val="dk1"/>
                                            </a:solidFill>
                                            <a:effectLst/>
                                            <a:latin typeface="Cambria Math" panose="02040503050406030204" pitchFamily="18" charset="0"/>
                                            <a:ea typeface="+mn-ea"/>
                                            <a:cs typeface="+mn-cs"/>
                                          </a:rPr>
                                        </m:ctrlPr>
                                      </m:sSupPr>
                                      <m:e>
                                        <m:r>
                                          <a:rPr lang="es-ES" sz="1100" b="0" i="1">
                                            <a:solidFill>
                                              <a:schemeClr val="dk1"/>
                                            </a:solidFill>
                                            <a:effectLst/>
                                            <a:latin typeface="Cambria Math" panose="02040503050406030204" pitchFamily="18" charset="0"/>
                                            <a:ea typeface="+mn-ea"/>
                                            <a:cs typeface="+mn-cs"/>
                                          </a:rPr>
                                          <m:t>𝑘</m:t>
                                        </m:r>
                                      </m:e>
                                      <m:sup>
                                        <m:r>
                                          <a:rPr lang="es-ES" sz="1100" b="0" i="1">
                                            <a:solidFill>
                                              <a:schemeClr val="dk1"/>
                                            </a:solidFill>
                                            <a:effectLst/>
                                            <a:latin typeface="Cambria Math" panose="02040503050406030204" pitchFamily="18" charset="0"/>
                                            <a:ea typeface="+mn-ea"/>
                                            <a:cs typeface="+mn-cs"/>
                                          </a:rPr>
                                          <m:t>′</m:t>
                                        </m:r>
                                      </m:sup>
                                    </m:sSup>
                                  </m:e>
                                  <m:sub>
                                    <m:r>
                                      <a:rPr lang="es-ES" sz="1100" b="0" i="1">
                                        <a:solidFill>
                                          <a:schemeClr val="dk1"/>
                                        </a:solidFill>
                                        <a:effectLst/>
                                        <a:latin typeface="Cambria Math" panose="02040503050406030204" pitchFamily="18" charset="0"/>
                                        <a:ea typeface="+mn-ea"/>
                                        <a:cs typeface="+mn-cs"/>
                                      </a:rPr>
                                      <m:t>𝑔</m:t>
                                    </m:r>
                                  </m:sub>
                                </m:sSub>
                              </m:num>
                              <m:den>
                                <m:sSub>
                                  <m:sSubPr>
                                    <m:ctrlPr>
                                      <a:rPr lang="es-ES" sz="1100" b="0" i="1">
                                        <a:solidFill>
                                          <a:schemeClr val="dk1"/>
                                        </a:solidFill>
                                        <a:effectLst/>
                                        <a:latin typeface="Cambria Math" panose="02040503050406030204" pitchFamily="18" charset="0"/>
                                        <a:ea typeface="+mn-ea"/>
                                        <a:cs typeface="+mn-cs"/>
                                      </a:rPr>
                                    </m:ctrlPr>
                                  </m:sSubPr>
                                  <m:e>
                                    <m:sSup>
                                      <m:sSupPr>
                                        <m:ctrlPr>
                                          <a:rPr lang="es-ES" sz="1100" b="0" i="1">
                                            <a:solidFill>
                                              <a:schemeClr val="dk1"/>
                                            </a:solidFill>
                                            <a:effectLst/>
                                            <a:latin typeface="Cambria Math" panose="02040503050406030204" pitchFamily="18" charset="0"/>
                                            <a:ea typeface="+mn-ea"/>
                                            <a:cs typeface="+mn-cs"/>
                                          </a:rPr>
                                        </m:ctrlPr>
                                      </m:sSupPr>
                                      <m:e>
                                        <m:r>
                                          <a:rPr lang="es-ES" sz="1100" b="0" i="1">
                                            <a:solidFill>
                                              <a:schemeClr val="dk1"/>
                                            </a:solidFill>
                                            <a:effectLst/>
                                            <a:latin typeface="Cambria Math" panose="02040503050406030204" pitchFamily="18" charset="0"/>
                                            <a:ea typeface="+mn-ea"/>
                                            <a:cs typeface="+mn-cs"/>
                                          </a:rPr>
                                          <m:t>𝑘</m:t>
                                        </m:r>
                                      </m:e>
                                      <m:sup>
                                        <m:r>
                                          <a:rPr lang="es-ES" sz="1100" b="0" i="1">
                                            <a:solidFill>
                                              <a:schemeClr val="dk1"/>
                                            </a:solidFill>
                                            <a:effectLst/>
                                            <a:latin typeface="Cambria Math" panose="02040503050406030204" pitchFamily="18" charset="0"/>
                                            <a:ea typeface="+mn-ea"/>
                                            <a:cs typeface="+mn-cs"/>
                                          </a:rPr>
                                          <m:t>′</m:t>
                                        </m:r>
                                      </m:sup>
                                    </m:sSup>
                                  </m:e>
                                  <m:sub>
                                    <m:r>
                                      <a:rPr lang="es-ES" sz="1100" b="0" i="1">
                                        <a:solidFill>
                                          <a:schemeClr val="dk1"/>
                                        </a:solidFill>
                                        <a:effectLst/>
                                        <a:latin typeface="Cambria Math" panose="02040503050406030204" pitchFamily="18" charset="0"/>
                                        <a:ea typeface="+mn-ea"/>
                                        <a:cs typeface="+mn-cs"/>
                                      </a:rPr>
                                      <m:t>𝑔</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𝐺</m:t>
                                </m:r>
                              </m:den>
                            </m:f>
                          </m:e>
                        </m:d>
                        <m:r>
                          <a:rPr lang="es-ES" sz="1100" b="0" i="1">
                            <a:solidFill>
                              <a:schemeClr val="dk1"/>
                            </a:solidFill>
                            <a:effectLst/>
                            <a:latin typeface="Cambria Math" panose="02040503050406030204" pitchFamily="18" charset="0"/>
                            <a:ea typeface="+mn-ea"/>
                            <a:cs typeface="+mn-cs"/>
                          </a:rPr>
                          <m:t>+</m:t>
                        </m:r>
                        <m:d>
                          <m:dPr>
                            <m:ctrlPr>
                              <a:rPr lang="es-ES" sz="1100" b="0" i="1">
                                <a:solidFill>
                                  <a:schemeClr val="dk1"/>
                                </a:solidFill>
                                <a:effectLst/>
                                <a:latin typeface="Cambria Math" panose="02040503050406030204" pitchFamily="18" charset="0"/>
                                <a:ea typeface="+mn-ea"/>
                                <a:cs typeface="+mn-cs"/>
                              </a:rPr>
                            </m:ctrlPr>
                          </m:dPr>
                          <m:e>
                            <m:f>
                              <m:fPr>
                                <m:ctrlPr>
                                  <a:rPr lang="es-ES" sz="1100" b="0" i="1">
                                    <a:solidFill>
                                      <a:schemeClr val="dk1"/>
                                    </a:solidFill>
                                    <a:effectLst/>
                                    <a:latin typeface="Cambria Math" panose="02040503050406030204" pitchFamily="18" charset="0"/>
                                    <a:ea typeface="+mn-ea"/>
                                    <a:cs typeface="+mn-cs"/>
                                  </a:rPr>
                                </m:ctrlPr>
                              </m:fPr>
                              <m:num>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𝜇</m:t>
                                    </m:r>
                                  </m:e>
                                  <m:sub>
                                    <m:r>
                                      <a:rPr lang="es-ES" sz="1100" b="0" i="1">
                                        <a:solidFill>
                                          <a:schemeClr val="dk1"/>
                                        </a:solidFill>
                                        <a:effectLst/>
                                        <a:latin typeface="Cambria Math" panose="02040503050406030204" pitchFamily="18" charset="0"/>
                                        <a:ea typeface="+mn-ea"/>
                                        <a:cs typeface="+mn-cs"/>
                                      </a:rPr>
                                      <m:t>𝑛</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𝑁</m:t>
                                </m:r>
                                <m:r>
                                  <a:rPr lang="es-ES" sz="1100" b="0" i="1">
                                    <a:solidFill>
                                      <a:schemeClr val="dk1"/>
                                    </a:solidFill>
                                    <a:effectLst/>
                                    <a:latin typeface="Cambria Math" panose="02040503050406030204" pitchFamily="18" charset="0"/>
                                    <a:ea typeface="+mn-ea"/>
                                    <a:cs typeface="+mn-cs"/>
                                  </a:rPr>
                                  <m:t>∗</m:t>
                                </m:r>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𝑌</m:t>
                                    </m:r>
                                  </m:e>
                                  <m:sub>
                                    <m:f>
                                      <m:fPr>
                                        <m:ctrlPr>
                                          <a:rPr lang="es-ES" sz="1100" b="0" i="1">
                                            <a:solidFill>
                                              <a:schemeClr val="dk1"/>
                                            </a:solidFill>
                                            <a:effectLst/>
                                            <a:latin typeface="Cambria Math" panose="02040503050406030204" pitchFamily="18" charset="0"/>
                                            <a:ea typeface="+mn-ea"/>
                                            <a:cs typeface="+mn-cs"/>
                                          </a:rPr>
                                        </m:ctrlPr>
                                      </m:fPr>
                                      <m:num>
                                        <m:r>
                                          <a:rPr lang="es-ES" sz="1100" b="0" i="1">
                                            <a:solidFill>
                                              <a:schemeClr val="dk1"/>
                                            </a:solidFill>
                                            <a:effectLst/>
                                            <a:latin typeface="Cambria Math" panose="02040503050406030204" pitchFamily="18" charset="0"/>
                                            <a:ea typeface="+mn-ea"/>
                                            <a:cs typeface="+mn-cs"/>
                                          </a:rPr>
                                          <m:t>𝑥</m:t>
                                        </m:r>
                                      </m:num>
                                      <m:den>
                                        <m:r>
                                          <a:rPr lang="es-ES" sz="1100" b="0" i="1">
                                            <a:solidFill>
                                              <a:schemeClr val="dk1"/>
                                            </a:solidFill>
                                            <a:effectLst/>
                                            <a:latin typeface="Cambria Math" panose="02040503050406030204" pitchFamily="18" charset="0"/>
                                            <a:ea typeface="+mn-ea"/>
                                            <a:cs typeface="+mn-cs"/>
                                          </a:rPr>
                                          <m:t>𝑁</m:t>
                                        </m:r>
                                      </m:den>
                                    </m:f>
                                  </m:sub>
                                </m:sSub>
                              </m:num>
                              <m:den>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𝑘</m:t>
                                    </m:r>
                                  </m:e>
                                  <m:sub>
                                    <m:r>
                                      <a:rPr lang="es-ES" sz="1100" b="0" i="1">
                                        <a:solidFill>
                                          <a:schemeClr val="dk1"/>
                                        </a:solidFill>
                                        <a:effectLst/>
                                        <a:latin typeface="Cambria Math" panose="02040503050406030204" pitchFamily="18" charset="0"/>
                                        <a:ea typeface="+mn-ea"/>
                                        <a:cs typeface="+mn-cs"/>
                                      </a:rPr>
                                      <m:t>𝑛</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𝑁</m:t>
                                </m:r>
                              </m:den>
                            </m:f>
                          </m:e>
                        </m:d>
                        <m:r>
                          <a:rPr lang="es-ES" sz="1100" b="0" i="1">
                            <a:solidFill>
                              <a:schemeClr val="dk1"/>
                            </a:solidFill>
                            <a:effectLst/>
                            <a:latin typeface="Cambria Math" panose="02040503050406030204" pitchFamily="18" charset="0"/>
                            <a:ea typeface="+mn-ea"/>
                            <a:cs typeface="+mn-cs"/>
                          </a:rPr>
                          <m:t>∗</m:t>
                        </m:r>
                        <m:d>
                          <m:dPr>
                            <m:ctrlPr>
                              <a:rPr lang="es-ES" sz="1100" b="0" i="1">
                                <a:solidFill>
                                  <a:schemeClr val="dk1"/>
                                </a:solidFill>
                                <a:effectLst/>
                                <a:latin typeface="Cambria Math" panose="02040503050406030204" pitchFamily="18" charset="0"/>
                                <a:ea typeface="+mn-ea"/>
                                <a:cs typeface="+mn-cs"/>
                              </a:rPr>
                            </m:ctrlPr>
                          </m:dPr>
                          <m:e>
                            <m:f>
                              <m:fPr>
                                <m:ctrlPr>
                                  <a:rPr lang="es-ES" sz="1100" b="0" i="1">
                                    <a:solidFill>
                                      <a:schemeClr val="dk1"/>
                                    </a:solidFill>
                                    <a:effectLst/>
                                    <a:latin typeface="Cambria Math" panose="02040503050406030204" pitchFamily="18" charset="0"/>
                                    <a:ea typeface="+mn-ea"/>
                                    <a:cs typeface="+mn-cs"/>
                                  </a:rPr>
                                </m:ctrlPr>
                              </m:fPr>
                              <m:num>
                                <m:sSub>
                                  <m:sSubPr>
                                    <m:ctrlPr>
                                      <a:rPr lang="es-ES" sz="1100" b="0" i="1">
                                        <a:solidFill>
                                          <a:schemeClr val="dk1"/>
                                        </a:solidFill>
                                        <a:effectLst/>
                                        <a:latin typeface="Cambria Math" panose="02040503050406030204" pitchFamily="18" charset="0"/>
                                        <a:ea typeface="+mn-ea"/>
                                        <a:cs typeface="+mn-cs"/>
                                      </a:rPr>
                                    </m:ctrlPr>
                                  </m:sSubPr>
                                  <m:e>
                                    <m:sSup>
                                      <m:sSupPr>
                                        <m:ctrlPr>
                                          <a:rPr lang="es-ES" sz="1100" b="0" i="1">
                                            <a:solidFill>
                                              <a:schemeClr val="dk1"/>
                                            </a:solidFill>
                                            <a:effectLst/>
                                            <a:latin typeface="Cambria Math" panose="02040503050406030204" pitchFamily="18" charset="0"/>
                                            <a:ea typeface="+mn-ea"/>
                                            <a:cs typeface="+mn-cs"/>
                                          </a:rPr>
                                        </m:ctrlPr>
                                      </m:sSupPr>
                                      <m:e>
                                        <m:r>
                                          <a:rPr lang="es-ES" sz="1100" b="0" i="1">
                                            <a:solidFill>
                                              <a:schemeClr val="dk1"/>
                                            </a:solidFill>
                                            <a:effectLst/>
                                            <a:latin typeface="Cambria Math" panose="02040503050406030204" pitchFamily="18" charset="0"/>
                                            <a:ea typeface="+mn-ea"/>
                                            <a:cs typeface="+mn-cs"/>
                                          </a:rPr>
                                          <m:t>𝑘</m:t>
                                        </m:r>
                                      </m:e>
                                      <m:sup>
                                        <m:r>
                                          <a:rPr lang="es-ES" sz="1100" b="0" i="1">
                                            <a:solidFill>
                                              <a:schemeClr val="dk1"/>
                                            </a:solidFill>
                                            <a:effectLst/>
                                            <a:latin typeface="Cambria Math" panose="02040503050406030204" pitchFamily="18" charset="0"/>
                                            <a:ea typeface="+mn-ea"/>
                                            <a:cs typeface="+mn-cs"/>
                                          </a:rPr>
                                          <m:t>′</m:t>
                                        </m:r>
                                      </m:sup>
                                    </m:sSup>
                                  </m:e>
                                  <m:sub>
                                    <m:r>
                                      <a:rPr lang="es-ES" sz="1100" b="0" i="1">
                                        <a:solidFill>
                                          <a:schemeClr val="dk1"/>
                                        </a:solidFill>
                                        <a:effectLst/>
                                        <a:latin typeface="Cambria Math" panose="02040503050406030204" pitchFamily="18" charset="0"/>
                                        <a:ea typeface="+mn-ea"/>
                                        <a:cs typeface="+mn-cs"/>
                                      </a:rPr>
                                      <m:t>𝑔</m:t>
                                    </m:r>
                                  </m:sub>
                                </m:sSub>
                              </m:num>
                              <m:den>
                                <m:sSub>
                                  <m:sSubPr>
                                    <m:ctrlPr>
                                      <a:rPr lang="es-ES" sz="1100" b="0" i="1">
                                        <a:solidFill>
                                          <a:schemeClr val="dk1"/>
                                        </a:solidFill>
                                        <a:effectLst/>
                                        <a:latin typeface="Cambria Math" panose="02040503050406030204" pitchFamily="18" charset="0"/>
                                        <a:ea typeface="+mn-ea"/>
                                        <a:cs typeface="+mn-cs"/>
                                      </a:rPr>
                                    </m:ctrlPr>
                                  </m:sSubPr>
                                  <m:e>
                                    <m:sSup>
                                      <m:sSupPr>
                                        <m:ctrlPr>
                                          <a:rPr lang="es-ES" sz="1100" b="0" i="1">
                                            <a:solidFill>
                                              <a:schemeClr val="dk1"/>
                                            </a:solidFill>
                                            <a:effectLst/>
                                            <a:latin typeface="Cambria Math" panose="02040503050406030204" pitchFamily="18" charset="0"/>
                                            <a:ea typeface="+mn-ea"/>
                                            <a:cs typeface="+mn-cs"/>
                                          </a:rPr>
                                        </m:ctrlPr>
                                      </m:sSupPr>
                                      <m:e>
                                        <m:r>
                                          <a:rPr lang="es-ES" sz="1100" b="0" i="1">
                                            <a:solidFill>
                                              <a:schemeClr val="dk1"/>
                                            </a:solidFill>
                                            <a:effectLst/>
                                            <a:latin typeface="Cambria Math" panose="02040503050406030204" pitchFamily="18" charset="0"/>
                                            <a:ea typeface="+mn-ea"/>
                                            <a:cs typeface="+mn-cs"/>
                                          </a:rPr>
                                          <m:t>𝑘</m:t>
                                        </m:r>
                                      </m:e>
                                      <m:sup>
                                        <m:r>
                                          <a:rPr lang="es-ES" sz="1100" b="0" i="1">
                                            <a:solidFill>
                                              <a:schemeClr val="dk1"/>
                                            </a:solidFill>
                                            <a:effectLst/>
                                            <a:latin typeface="Cambria Math" panose="02040503050406030204" pitchFamily="18" charset="0"/>
                                            <a:ea typeface="+mn-ea"/>
                                            <a:cs typeface="+mn-cs"/>
                                          </a:rPr>
                                          <m:t>′</m:t>
                                        </m:r>
                                      </m:sup>
                                    </m:sSup>
                                  </m:e>
                                  <m:sub>
                                    <m:r>
                                      <a:rPr lang="es-ES" sz="1100" b="0" i="1">
                                        <a:solidFill>
                                          <a:schemeClr val="dk1"/>
                                        </a:solidFill>
                                        <a:effectLst/>
                                        <a:latin typeface="Cambria Math" panose="02040503050406030204" pitchFamily="18" charset="0"/>
                                        <a:ea typeface="+mn-ea"/>
                                        <a:cs typeface="+mn-cs"/>
                                      </a:rPr>
                                      <m:t>𝑔</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𝐺</m:t>
                                </m:r>
                              </m:den>
                            </m:f>
                          </m:e>
                        </m:d>
                        <m:r>
                          <a:rPr lang="es-ES" sz="1100" b="0" i="1">
                            <a:solidFill>
                              <a:schemeClr val="dk1"/>
                            </a:solidFill>
                            <a:effectLst/>
                            <a:latin typeface="Cambria Math" panose="02040503050406030204" pitchFamily="18" charset="0"/>
                            <a:ea typeface="+mn-ea"/>
                            <a:cs typeface="+mn-cs"/>
                          </a:rPr>
                          <m:t>∗</m:t>
                        </m:r>
                        <m:d>
                          <m:dPr>
                            <m:ctrlPr>
                              <a:rPr lang="es-ES" sz="1100" b="0" i="1">
                                <a:solidFill>
                                  <a:schemeClr val="dk1"/>
                                </a:solidFill>
                                <a:effectLst/>
                                <a:latin typeface="Cambria Math" panose="02040503050406030204" pitchFamily="18" charset="0"/>
                                <a:ea typeface="+mn-ea"/>
                                <a:cs typeface="+mn-cs"/>
                              </a:rPr>
                            </m:ctrlPr>
                          </m:dPr>
                          <m:e>
                            <m:f>
                              <m:fPr>
                                <m:ctrlPr>
                                  <a:rPr lang="es-ES" sz="1100" b="0" i="1">
                                    <a:solidFill>
                                      <a:schemeClr val="dk1"/>
                                    </a:solidFill>
                                    <a:effectLst/>
                                    <a:latin typeface="Cambria Math" panose="02040503050406030204" pitchFamily="18" charset="0"/>
                                    <a:ea typeface="+mn-ea"/>
                                    <a:cs typeface="+mn-cs"/>
                                  </a:rPr>
                                </m:ctrlPr>
                              </m:fPr>
                              <m:num>
                                <m:sSub>
                                  <m:sSubPr>
                                    <m:ctrlPr>
                                      <a:rPr lang="es-ES" sz="1100" b="0" i="1">
                                        <a:solidFill>
                                          <a:schemeClr val="dk1"/>
                                        </a:solidFill>
                                        <a:effectLst/>
                                        <a:latin typeface="Cambria Math" panose="02040503050406030204" pitchFamily="18" charset="0"/>
                                        <a:ea typeface="+mn-ea"/>
                                        <a:cs typeface="+mn-cs"/>
                                      </a:rPr>
                                    </m:ctrlPr>
                                  </m:sSubPr>
                                  <m:e>
                                    <m:sSup>
                                      <m:sSupPr>
                                        <m:ctrlPr>
                                          <a:rPr lang="es-ES" sz="1100" b="0" i="1">
                                            <a:solidFill>
                                              <a:schemeClr val="dk1"/>
                                            </a:solidFill>
                                            <a:effectLst/>
                                            <a:latin typeface="Cambria Math" panose="02040503050406030204" pitchFamily="18" charset="0"/>
                                            <a:ea typeface="+mn-ea"/>
                                            <a:cs typeface="+mn-cs"/>
                                          </a:rPr>
                                        </m:ctrlPr>
                                      </m:sSupPr>
                                      <m:e>
                                        <m:r>
                                          <a:rPr lang="es-ES" sz="1100" b="0" i="1">
                                            <a:solidFill>
                                              <a:schemeClr val="dk1"/>
                                            </a:solidFill>
                                            <a:effectLst/>
                                            <a:latin typeface="Cambria Math" panose="02040503050406030204" pitchFamily="18" charset="0"/>
                                            <a:ea typeface="+mn-ea"/>
                                            <a:cs typeface="+mn-cs"/>
                                          </a:rPr>
                                          <m:t>𝑘</m:t>
                                        </m:r>
                                      </m:e>
                                      <m:sup>
                                        <m:r>
                                          <a:rPr lang="es-ES" sz="1100" b="0" i="1">
                                            <a:solidFill>
                                              <a:schemeClr val="dk1"/>
                                            </a:solidFill>
                                            <a:effectLst/>
                                            <a:latin typeface="Cambria Math" panose="02040503050406030204" pitchFamily="18" charset="0"/>
                                            <a:ea typeface="+mn-ea"/>
                                            <a:cs typeface="+mn-cs"/>
                                          </a:rPr>
                                          <m:t>′</m:t>
                                        </m:r>
                                      </m:sup>
                                    </m:sSup>
                                  </m:e>
                                  <m:sub>
                                    <m:r>
                                      <a:rPr lang="es-ES" sz="1100" b="0" i="1">
                                        <a:solidFill>
                                          <a:schemeClr val="dk1"/>
                                        </a:solidFill>
                                        <a:effectLst/>
                                        <a:latin typeface="Cambria Math" panose="02040503050406030204" pitchFamily="18" charset="0"/>
                                        <a:ea typeface="+mn-ea"/>
                                        <a:cs typeface="+mn-cs"/>
                                      </a:rPr>
                                      <m:t>𝑚</m:t>
                                    </m:r>
                                  </m:sub>
                                </m:sSub>
                              </m:num>
                              <m:den>
                                <m:sSub>
                                  <m:sSubPr>
                                    <m:ctrlPr>
                                      <a:rPr lang="es-ES" sz="1100" b="0" i="1">
                                        <a:solidFill>
                                          <a:schemeClr val="dk1"/>
                                        </a:solidFill>
                                        <a:effectLst/>
                                        <a:latin typeface="Cambria Math" panose="02040503050406030204" pitchFamily="18" charset="0"/>
                                        <a:ea typeface="+mn-ea"/>
                                        <a:cs typeface="+mn-cs"/>
                                      </a:rPr>
                                    </m:ctrlPr>
                                  </m:sSubPr>
                                  <m:e>
                                    <m:sSup>
                                      <m:sSupPr>
                                        <m:ctrlPr>
                                          <a:rPr lang="es-ES" sz="1100" b="0" i="1">
                                            <a:solidFill>
                                              <a:schemeClr val="dk1"/>
                                            </a:solidFill>
                                            <a:effectLst/>
                                            <a:latin typeface="Cambria Math" panose="02040503050406030204" pitchFamily="18" charset="0"/>
                                            <a:ea typeface="+mn-ea"/>
                                            <a:cs typeface="+mn-cs"/>
                                          </a:rPr>
                                        </m:ctrlPr>
                                      </m:sSupPr>
                                      <m:e>
                                        <m:r>
                                          <a:rPr lang="es-ES" sz="1100" b="0" i="1">
                                            <a:solidFill>
                                              <a:schemeClr val="dk1"/>
                                            </a:solidFill>
                                            <a:effectLst/>
                                            <a:latin typeface="Cambria Math" panose="02040503050406030204" pitchFamily="18" charset="0"/>
                                            <a:ea typeface="+mn-ea"/>
                                            <a:cs typeface="+mn-cs"/>
                                          </a:rPr>
                                          <m:t>𝑘</m:t>
                                        </m:r>
                                      </m:e>
                                      <m:sup>
                                        <m:r>
                                          <a:rPr lang="es-ES" sz="1100" b="0" i="1">
                                            <a:solidFill>
                                              <a:schemeClr val="dk1"/>
                                            </a:solidFill>
                                            <a:effectLst/>
                                            <a:latin typeface="Cambria Math" panose="02040503050406030204" pitchFamily="18" charset="0"/>
                                            <a:ea typeface="+mn-ea"/>
                                            <a:cs typeface="+mn-cs"/>
                                          </a:rPr>
                                          <m:t>′</m:t>
                                        </m:r>
                                      </m:sup>
                                    </m:sSup>
                                  </m:e>
                                  <m:sub>
                                    <m:r>
                                      <a:rPr lang="es-ES" sz="1100" b="0" i="1">
                                        <a:solidFill>
                                          <a:schemeClr val="dk1"/>
                                        </a:solidFill>
                                        <a:effectLst/>
                                        <a:latin typeface="Cambria Math" panose="02040503050406030204" pitchFamily="18" charset="0"/>
                                        <a:ea typeface="+mn-ea"/>
                                        <a:cs typeface="+mn-cs"/>
                                      </a:rPr>
                                      <m:t>𝑚</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𝑀</m:t>
                                </m:r>
                              </m:den>
                            </m:f>
                          </m:e>
                        </m:d>
                      </m:e>
                    </m:d>
                    <m:r>
                      <a:rPr lang="es-ES" sz="1100" b="0" i="1">
                        <a:solidFill>
                          <a:schemeClr val="dk1"/>
                        </a:solidFill>
                        <a:effectLst/>
                        <a:latin typeface="Cambria Math" panose="02040503050406030204" pitchFamily="18" charset="0"/>
                        <a:ea typeface="+mn-ea"/>
                        <a:cs typeface="+mn-cs"/>
                      </a:rPr>
                      <m:t>∗</m:t>
                    </m:r>
                    <m:d>
                      <m:dPr>
                        <m:ctrlPr>
                          <a:rPr lang="es-ES" sz="1100" b="0" i="1">
                            <a:solidFill>
                              <a:schemeClr val="dk1"/>
                            </a:solidFill>
                            <a:effectLst/>
                            <a:latin typeface="Cambria Math" panose="02040503050406030204" pitchFamily="18" charset="0"/>
                            <a:ea typeface="+mn-ea"/>
                            <a:cs typeface="+mn-cs"/>
                          </a:rPr>
                        </m:ctrlPr>
                      </m:dPr>
                      <m:e>
                        <m:f>
                          <m:fPr>
                            <m:ctrlPr>
                              <a:rPr lang="es-ES" sz="1100" b="0" i="1">
                                <a:solidFill>
                                  <a:schemeClr val="dk1"/>
                                </a:solidFill>
                                <a:effectLst/>
                                <a:latin typeface="Cambria Math" panose="02040503050406030204" pitchFamily="18" charset="0"/>
                                <a:ea typeface="+mn-ea"/>
                                <a:cs typeface="+mn-cs"/>
                              </a:rPr>
                            </m:ctrlPr>
                          </m:fPr>
                          <m:num>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𝑘</m:t>
                                </m:r>
                              </m:e>
                              <m:sub>
                                <m:r>
                                  <a:rPr lang="es-ES" sz="1100" b="0" i="1">
                                    <a:solidFill>
                                      <a:schemeClr val="dk1"/>
                                    </a:solidFill>
                                    <a:effectLst/>
                                    <a:latin typeface="Cambria Math" panose="02040503050406030204" pitchFamily="18" charset="0"/>
                                    <a:ea typeface="+mn-ea"/>
                                    <a:cs typeface="+mn-cs"/>
                                  </a:rPr>
                                  <m:t>𝑥</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𝑋</m:t>
                            </m:r>
                          </m:num>
                          <m:den>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𝑘</m:t>
                                </m:r>
                              </m:e>
                              <m:sub>
                                <m:r>
                                  <a:rPr lang="es-ES" sz="1100" b="0" i="1">
                                    <a:solidFill>
                                      <a:schemeClr val="dk1"/>
                                    </a:solidFill>
                                    <a:effectLst/>
                                    <a:latin typeface="Cambria Math" panose="02040503050406030204" pitchFamily="18" charset="0"/>
                                    <a:ea typeface="+mn-ea"/>
                                    <a:cs typeface="+mn-cs"/>
                                  </a:rPr>
                                  <m:t>𝑥</m:t>
                                </m:r>
                              </m:sub>
                            </m:sSub>
                            <m:r>
                              <a:rPr lang="es-ES" sz="1100" b="0" i="1">
                                <a:solidFill>
                                  <a:schemeClr val="dk1"/>
                                </a:solidFill>
                                <a:effectLst/>
                                <a:latin typeface="Cambria Math" panose="02040503050406030204" pitchFamily="18" charset="0"/>
                                <a:ea typeface="+mn-ea"/>
                                <a:cs typeface="+mn-cs"/>
                              </a:rPr>
                              <m:t>+</m:t>
                            </m:r>
                            <m:sSup>
                              <m:sSupPr>
                                <m:ctrlPr>
                                  <a:rPr lang="es-ES" sz="1100" b="0" i="1">
                                    <a:solidFill>
                                      <a:schemeClr val="dk1"/>
                                    </a:solidFill>
                                    <a:effectLst/>
                                    <a:latin typeface="Cambria Math" panose="02040503050406030204" pitchFamily="18" charset="0"/>
                                    <a:ea typeface="+mn-ea"/>
                                    <a:cs typeface="+mn-cs"/>
                                  </a:rPr>
                                </m:ctrlPr>
                              </m:sSupPr>
                              <m:e>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𝑥</m:t>
                                    </m:r>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𝑥𝑜</m:t>
                                    </m:r>
                                  </m:e>
                                </m:d>
                              </m:e>
                              <m:sup>
                                <m:r>
                                  <a:rPr lang="es-ES" sz="1100" b="0" i="1">
                                    <a:solidFill>
                                      <a:schemeClr val="dk1"/>
                                    </a:solidFill>
                                    <a:effectLst/>
                                    <a:latin typeface="Cambria Math" panose="02040503050406030204" pitchFamily="18" charset="0"/>
                                    <a:ea typeface="+mn-ea"/>
                                    <a:cs typeface="+mn-cs"/>
                                  </a:rPr>
                                  <m:t>2</m:t>
                                </m:r>
                              </m:sup>
                            </m:sSup>
                            <m:r>
                              <a:rPr lang="es-ES" sz="1100" b="0" i="1">
                                <a:solidFill>
                                  <a:schemeClr val="dk1"/>
                                </a:solidFill>
                                <a:effectLst/>
                                <a:latin typeface="Cambria Math" panose="02040503050406030204" pitchFamily="18" charset="0"/>
                                <a:ea typeface="+mn-ea"/>
                                <a:cs typeface="+mn-cs"/>
                              </a:rPr>
                              <m:t>)</m:t>
                            </m:r>
                          </m:den>
                        </m:f>
                      </m:e>
                    </m:d>
                  </m:oMath>
                </m:oMathPara>
              </a14:m>
              <a:endParaRPr lang="es-ES" sz="1100"/>
            </a:p>
          </xdr:txBody>
        </xdr:sp>
      </mc:Choice>
      <mc:Fallback xmlns="">
        <xdr:sp macro="" textlink="">
          <xdr:nvSpPr>
            <xdr:cNvPr id="8" name="CuadroTexto 7">
              <a:extLst>
                <a:ext uri="{FF2B5EF4-FFF2-40B4-BE49-F238E27FC236}">
                  <a16:creationId xmlns:a16="http://schemas.microsoft.com/office/drawing/2014/main" id="{00000000-0008-0000-0900-000008000000}"/>
                </a:ext>
              </a:extLst>
            </xdr:cNvPr>
            <xdr:cNvSpPr txBox="1"/>
          </xdr:nvSpPr>
          <xdr:spPr>
            <a:xfrm>
              <a:off x="4048125" y="8955986"/>
              <a:ext cx="860853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s-ES" sz="1100" i="0">
                  <a:solidFill>
                    <a:schemeClr val="dk1"/>
                  </a:solidFill>
                  <a:effectLst/>
                  <a:latin typeface="Cambria Math" panose="02040503050406030204" pitchFamily="18" charset="0"/>
                  <a:ea typeface="+mn-ea"/>
                  <a:cs typeface="+mn-cs"/>
                </a:rPr>
                <a:t>𝑑</a:t>
              </a:r>
              <a:r>
                <a:rPr lang="es-ES" sz="1100" b="0" i="0">
                  <a:solidFill>
                    <a:schemeClr val="dk1"/>
                  </a:solidFill>
                  <a:effectLst/>
                  <a:latin typeface="Cambria Math" panose="02040503050406030204" pitchFamily="18" charset="0"/>
                  <a:ea typeface="+mn-ea"/>
                  <a:cs typeface="+mn-cs"/>
                </a:rPr>
                <a:t>𝑥/</a:t>
              </a:r>
              <a:r>
                <a:rPr lang="es-ES" sz="1100" i="0">
                  <a:solidFill>
                    <a:schemeClr val="dk1"/>
                  </a:solidFill>
                  <a:effectLst/>
                  <a:latin typeface="Cambria Math" panose="02040503050406030204" pitchFamily="18" charset="0"/>
                  <a:ea typeface="+mn-ea"/>
                  <a:cs typeface="+mn-cs"/>
                </a:rPr>
                <a:t>𝑑</a:t>
              </a:r>
              <a:r>
                <a:rPr lang="es-ES" sz="1100" b="0" i="0">
                  <a:solidFill>
                    <a:schemeClr val="dk1"/>
                  </a:solidFill>
                  <a:effectLst/>
                  <a:latin typeface="Cambria Math" panose="02040503050406030204" pitchFamily="18" charset="0"/>
                  <a:ea typeface="+mn-ea"/>
                  <a:cs typeface="+mn-cs"/>
                </a:rPr>
                <a:t>𝑡=(((𝜇_𝑔∗𝐺∗𝑌_(𝑥/𝑔))/(𝑘_𝑔+𝐺))+((𝜇_𝑚∗𝑀∗𝑌_(𝑥/𝑚))/(𝑘_𝑚+𝑀))∗(〖𝑘^′〗_𝑔/(〖𝑘^′〗_𝑔+𝐺))+((𝜇_𝑛∗𝑁∗𝑌_(𝑥/𝑁))/(𝑘_𝑛+𝑁))∗(〖𝑘^′〗_𝑔/(〖𝑘^′〗_𝑔+𝐺))∗(〖𝑘^′〗_𝑚/(〖𝑘^′〗_𝑚+𝑀)))∗((𝑘_𝑥∗𝑋)/(𝑘_𝑥+(𝑥−𝑥𝑜)^2)))</a:t>
              </a:r>
              <a:endParaRPr lang="es-ES" sz="1100"/>
            </a:p>
          </xdr:txBody>
        </xdr:sp>
      </mc:Fallback>
    </mc:AlternateContent>
    <xdr:clientData/>
  </xdr:twoCellAnchor>
  <xdr:twoCellAnchor>
    <xdr:from>
      <xdr:col>0</xdr:col>
      <xdr:colOff>268357</xdr:colOff>
      <xdr:row>44</xdr:row>
      <xdr:rowOff>5383</xdr:rowOff>
    </xdr:from>
    <xdr:to>
      <xdr:col>1</xdr:col>
      <xdr:colOff>0</xdr:colOff>
      <xdr:row>47</xdr:row>
      <xdr:rowOff>129208</xdr:rowOff>
    </xdr:to>
    <xdr:sp macro="" textlink="">
      <xdr:nvSpPr>
        <xdr:cNvPr id="9" name="CuadroTexto 8">
          <a:extLst>
            <a:ext uri="{FF2B5EF4-FFF2-40B4-BE49-F238E27FC236}">
              <a16:creationId xmlns:a16="http://schemas.microsoft.com/office/drawing/2014/main" id="{00000000-0008-0000-0A00-000009000000}"/>
            </a:ext>
          </a:extLst>
        </xdr:cNvPr>
        <xdr:cNvSpPr txBox="1"/>
      </xdr:nvSpPr>
      <xdr:spPr>
        <a:xfrm>
          <a:off x="268357" y="6672883"/>
          <a:ext cx="3290266"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ES" sz="1100"/>
        </a:p>
      </xdr:txBody>
    </xdr:sp>
    <xdr:clientData/>
  </xdr:twoCellAnchor>
  <xdr:oneCellAnchor>
    <xdr:from>
      <xdr:col>0</xdr:col>
      <xdr:colOff>1190625</xdr:colOff>
      <xdr:row>44</xdr:row>
      <xdr:rowOff>176834</xdr:rowOff>
    </xdr:from>
    <xdr:ext cx="1320170" cy="386452"/>
    <mc:AlternateContent xmlns:mc="http://schemas.openxmlformats.org/markup-compatibility/2006" xmlns:a14="http://schemas.microsoft.com/office/drawing/2010/main">
      <mc:Choice Requires="a14">
        <xdr:sp macro="" textlink="">
          <xdr:nvSpPr>
            <xdr:cNvPr id="10" name="CuadroTexto 9">
              <a:extLst>
                <a:ext uri="{FF2B5EF4-FFF2-40B4-BE49-F238E27FC236}">
                  <a16:creationId xmlns:a16="http://schemas.microsoft.com/office/drawing/2014/main" id="{00000000-0008-0000-0A00-00000A000000}"/>
                </a:ext>
              </a:extLst>
            </xdr:cNvPr>
            <xdr:cNvSpPr txBox="1"/>
          </xdr:nvSpPr>
          <xdr:spPr>
            <a:xfrm>
              <a:off x="1190625" y="8558834"/>
              <a:ext cx="1320170" cy="386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𝐺</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d>
                      <m:dPr>
                        <m:ctrlPr>
                          <a:rPr lang="es-ES" sz="1100" b="0" i="1">
                            <a:latin typeface="Cambria Math" panose="02040503050406030204" pitchFamily="18" charset="0"/>
                          </a:rPr>
                        </m:ctrlPr>
                      </m:dPr>
                      <m:e>
                        <m:f>
                          <m:fPr>
                            <m:ctrlPr>
                              <a:rPr lang="es-ES" sz="1100" b="0" i="1">
                                <a:solidFill>
                                  <a:schemeClr val="tx1"/>
                                </a:solidFill>
                                <a:effectLst/>
                                <a:latin typeface="Cambria Math" panose="02040503050406030204" pitchFamily="18" charset="0"/>
                                <a:ea typeface="+mn-ea"/>
                                <a:cs typeface="+mn-cs"/>
                              </a:rPr>
                            </m:ctrlPr>
                          </m:fPr>
                          <m:num>
                            <m:sSub>
                              <m:sSubPr>
                                <m:ctrlPr>
                                  <a:rPr lang="es-ES" sz="1100" b="0" i="1">
                                    <a:solidFill>
                                      <a:schemeClr val="tx1"/>
                                    </a:solidFill>
                                    <a:effectLst/>
                                    <a:latin typeface="Cambria Math" panose="02040503050406030204" pitchFamily="18" charset="0"/>
                                    <a:ea typeface="+mn-ea"/>
                                    <a:cs typeface="+mn-cs"/>
                                  </a:rPr>
                                </m:ctrlPr>
                              </m:sSubPr>
                              <m:e>
                                <m:r>
                                  <a:rPr lang="es-ES" sz="1100" b="0" i="1">
                                    <a:solidFill>
                                      <a:schemeClr val="tx1"/>
                                    </a:solidFill>
                                    <a:effectLst/>
                                    <a:latin typeface="Cambria Math" panose="02040503050406030204" pitchFamily="18" charset="0"/>
                                    <a:ea typeface="+mn-ea"/>
                                    <a:cs typeface="+mn-cs"/>
                                  </a:rPr>
                                  <m:t>𝜇</m:t>
                                </m:r>
                              </m:e>
                              <m:sub>
                                <m:r>
                                  <a:rPr lang="es-ES" sz="1100" b="0" i="1">
                                    <a:solidFill>
                                      <a:schemeClr val="tx1"/>
                                    </a:solidFill>
                                    <a:effectLst/>
                                    <a:latin typeface="Cambria Math" panose="02040503050406030204" pitchFamily="18" charset="0"/>
                                    <a:ea typeface="+mn-ea"/>
                                    <a:cs typeface="+mn-cs"/>
                                  </a:rPr>
                                  <m:t>𝑔</m:t>
                                </m:r>
                              </m:sub>
                            </m:sSub>
                            <m:r>
                              <a:rPr lang="es-ES" sz="1100" b="0" i="1">
                                <a:solidFill>
                                  <a:schemeClr val="tx1"/>
                                </a:solidFill>
                                <a:effectLst/>
                                <a:latin typeface="Cambria Math" panose="02040503050406030204" pitchFamily="18" charset="0"/>
                                <a:ea typeface="+mn-ea"/>
                                <a:cs typeface="+mn-cs"/>
                              </a:rPr>
                              <m:t>∗</m:t>
                            </m:r>
                            <m:r>
                              <a:rPr lang="es-ES" sz="1100" b="0" i="1">
                                <a:solidFill>
                                  <a:schemeClr val="tx1"/>
                                </a:solidFill>
                                <a:effectLst/>
                                <a:latin typeface="Cambria Math" panose="02040503050406030204" pitchFamily="18" charset="0"/>
                                <a:ea typeface="+mn-ea"/>
                                <a:cs typeface="+mn-cs"/>
                              </a:rPr>
                              <m:t>𝐺</m:t>
                            </m:r>
                          </m:num>
                          <m:den>
                            <m:sSub>
                              <m:sSubPr>
                                <m:ctrlPr>
                                  <a:rPr lang="es-ES" sz="1100" b="0" i="1">
                                    <a:solidFill>
                                      <a:schemeClr val="tx1"/>
                                    </a:solidFill>
                                    <a:effectLst/>
                                    <a:latin typeface="Cambria Math" panose="02040503050406030204" pitchFamily="18" charset="0"/>
                                    <a:ea typeface="+mn-ea"/>
                                    <a:cs typeface="+mn-cs"/>
                                  </a:rPr>
                                </m:ctrlPr>
                              </m:sSubPr>
                              <m:e>
                                <m:r>
                                  <a:rPr lang="es-ES" sz="1100" b="0" i="1">
                                    <a:solidFill>
                                      <a:schemeClr val="tx1"/>
                                    </a:solidFill>
                                    <a:effectLst/>
                                    <a:latin typeface="Cambria Math" panose="02040503050406030204" pitchFamily="18" charset="0"/>
                                    <a:ea typeface="+mn-ea"/>
                                    <a:cs typeface="+mn-cs"/>
                                  </a:rPr>
                                  <m:t>𝑘</m:t>
                                </m:r>
                              </m:e>
                              <m:sub>
                                <m:r>
                                  <a:rPr lang="es-ES" sz="1100" b="0" i="1">
                                    <a:solidFill>
                                      <a:schemeClr val="tx1"/>
                                    </a:solidFill>
                                    <a:effectLst/>
                                    <a:latin typeface="Cambria Math" panose="02040503050406030204" pitchFamily="18" charset="0"/>
                                    <a:ea typeface="+mn-ea"/>
                                    <a:cs typeface="+mn-cs"/>
                                  </a:rPr>
                                  <m:t>𝑔</m:t>
                                </m:r>
                              </m:sub>
                            </m:sSub>
                            <m:r>
                              <a:rPr lang="es-ES" sz="1100" b="0" i="1">
                                <a:solidFill>
                                  <a:schemeClr val="tx1"/>
                                </a:solidFill>
                                <a:effectLst/>
                                <a:latin typeface="Cambria Math" panose="02040503050406030204" pitchFamily="18" charset="0"/>
                                <a:ea typeface="+mn-ea"/>
                                <a:cs typeface="+mn-cs"/>
                              </a:rPr>
                              <m:t>+</m:t>
                            </m:r>
                            <m:r>
                              <a:rPr lang="es-ES" sz="1100" b="0" i="1">
                                <a:solidFill>
                                  <a:schemeClr val="tx1"/>
                                </a:solidFill>
                                <a:effectLst/>
                                <a:latin typeface="Cambria Math" panose="02040503050406030204" pitchFamily="18" charset="0"/>
                                <a:ea typeface="+mn-ea"/>
                                <a:cs typeface="+mn-cs"/>
                              </a:rPr>
                              <m:t>𝐺</m:t>
                            </m:r>
                          </m:den>
                        </m:f>
                      </m:e>
                    </m:d>
                    <m:r>
                      <a:rPr lang="es-ES" sz="1100" b="0" i="1">
                        <a:latin typeface="Cambria Math" panose="02040503050406030204" pitchFamily="18" charset="0"/>
                      </a:rPr>
                      <m:t>∗</m:t>
                    </m:r>
                    <m:r>
                      <a:rPr lang="es-ES" sz="1100" b="0" i="1">
                        <a:latin typeface="Cambria Math" panose="02040503050406030204" pitchFamily="18" charset="0"/>
                      </a:rPr>
                      <m:t>𝑋</m:t>
                    </m:r>
                  </m:oMath>
                </m:oMathPara>
              </a14:m>
              <a:endParaRPr lang="es-ES" sz="1100"/>
            </a:p>
          </xdr:txBody>
        </xdr:sp>
      </mc:Choice>
      <mc:Fallback xmlns="">
        <xdr:sp macro="" textlink="">
          <xdr:nvSpPr>
            <xdr:cNvPr id="10" name="CuadroTexto 9">
              <a:extLst>
                <a:ext uri="{FF2B5EF4-FFF2-40B4-BE49-F238E27FC236}">
                  <a16:creationId xmlns:a16="http://schemas.microsoft.com/office/drawing/2014/main" id="{00000000-0008-0000-0900-00000A000000}"/>
                </a:ext>
              </a:extLst>
            </xdr:cNvPr>
            <xdr:cNvSpPr txBox="1"/>
          </xdr:nvSpPr>
          <xdr:spPr>
            <a:xfrm>
              <a:off x="1190625" y="8558834"/>
              <a:ext cx="1320170" cy="386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ES" sz="1100" i="0">
                  <a:latin typeface="Cambria Math" panose="02040503050406030204" pitchFamily="18" charset="0"/>
                </a:rPr>
                <a:t>𝑑</a:t>
              </a:r>
              <a:r>
                <a:rPr lang="es-ES" sz="1100" b="0" i="0">
                  <a:latin typeface="Cambria Math" panose="02040503050406030204" pitchFamily="18" charset="0"/>
                </a:rPr>
                <a:t>𝐺/</a:t>
              </a:r>
              <a:r>
                <a:rPr lang="es-ES" sz="1100" i="0">
                  <a:latin typeface="Cambria Math" panose="02040503050406030204" pitchFamily="18" charset="0"/>
                </a:rPr>
                <a:t>𝑑</a:t>
              </a:r>
              <a:r>
                <a:rPr lang="es-ES" sz="1100" b="0" i="0">
                  <a:latin typeface="Cambria Math" panose="02040503050406030204" pitchFamily="18" charset="0"/>
                </a:rPr>
                <a:t>𝑡=−(</a:t>
              </a:r>
              <a:r>
                <a:rPr lang="es-ES" sz="1100" b="0" i="0">
                  <a:solidFill>
                    <a:schemeClr val="tx1"/>
                  </a:solidFill>
                  <a:effectLst/>
                  <a:latin typeface="Cambria Math" panose="02040503050406030204" pitchFamily="18" charset="0"/>
                  <a:ea typeface="+mn-ea"/>
                  <a:cs typeface="+mn-cs"/>
                </a:rPr>
                <a:t>(𝜇_𝑔∗𝐺)/(𝑘_𝑔+𝐺))</a:t>
              </a:r>
              <a:r>
                <a:rPr lang="es-ES" sz="1100" b="0" i="0">
                  <a:latin typeface="Cambria Math" panose="02040503050406030204" pitchFamily="18" charset="0"/>
                </a:rPr>
                <a:t>∗𝑋</a:t>
              </a:r>
              <a:endParaRPr lang="es-ES" sz="1100"/>
            </a:p>
          </xdr:txBody>
        </xdr:sp>
      </mc:Fallback>
    </mc:AlternateContent>
    <xdr:clientData/>
  </xdr:oneCellAnchor>
  <xdr:twoCellAnchor>
    <xdr:from>
      <xdr:col>0</xdr:col>
      <xdr:colOff>179732</xdr:colOff>
      <xdr:row>51</xdr:row>
      <xdr:rowOff>8283</xdr:rowOff>
    </xdr:from>
    <xdr:to>
      <xdr:col>1</xdr:col>
      <xdr:colOff>0</xdr:colOff>
      <xdr:row>55</xdr:row>
      <xdr:rowOff>55908</xdr:rowOff>
    </xdr:to>
    <xdr:sp macro="" textlink="">
      <xdr:nvSpPr>
        <xdr:cNvPr id="11" name="CuadroTexto 10">
          <a:extLst>
            <a:ext uri="{FF2B5EF4-FFF2-40B4-BE49-F238E27FC236}">
              <a16:creationId xmlns:a16="http://schemas.microsoft.com/office/drawing/2014/main" id="{00000000-0008-0000-0A00-00000B000000}"/>
            </a:ext>
          </a:extLst>
        </xdr:cNvPr>
        <xdr:cNvSpPr txBox="1"/>
      </xdr:nvSpPr>
      <xdr:spPr>
        <a:xfrm>
          <a:off x="179732" y="8009283"/>
          <a:ext cx="3576016"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ES" sz="1100"/>
        </a:p>
      </xdr:txBody>
    </xdr:sp>
    <xdr:clientData/>
  </xdr:twoCellAnchor>
  <xdr:oneCellAnchor>
    <xdr:from>
      <xdr:col>0</xdr:col>
      <xdr:colOff>609600</xdr:colOff>
      <xdr:row>52</xdr:row>
      <xdr:rowOff>31888</xdr:rowOff>
    </xdr:from>
    <xdr:ext cx="2162836" cy="384144"/>
    <mc:AlternateContent xmlns:mc="http://schemas.openxmlformats.org/markup-compatibility/2006" xmlns:a14="http://schemas.microsoft.com/office/drawing/2010/main">
      <mc:Choice Requires="a14">
        <xdr:sp macro="" textlink="">
          <xdr:nvSpPr>
            <xdr:cNvPr id="13" name="CuadroTexto 12">
              <a:extLst>
                <a:ext uri="{FF2B5EF4-FFF2-40B4-BE49-F238E27FC236}">
                  <a16:creationId xmlns:a16="http://schemas.microsoft.com/office/drawing/2014/main" id="{00000000-0008-0000-0A00-00000D000000}"/>
                </a:ext>
              </a:extLst>
            </xdr:cNvPr>
            <xdr:cNvSpPr txBox="1"/>
          </xdr:nvSpPr>
          <xdr:spPr>
            <a:xfrm>
              <a:off x="609600" y="9937888"/>
              <a:ext cx="2162836" cy="384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𝑀</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d>
                      <m:dPr>
                        <m:ctrlPr>
                          <a:rPr lang="es-ES" sz="1100" b="0" i="1">
                            <a:latin typeface="Cambria Math" panose="02040503050406030204" pitchFamily="18" charset="0"/>
                          </a:rPr>
                        </m:ctrlPr>
                      </m:dPr>
                      <m:e>
                        <m:f>
                          <m:fPr>
                            <m:ctrlPr>
                              <a:rPr lang="es-ES" sz="1100" b="0" i="1">
                                <a:solidFill>
                                  <a:schemeClr val="tx1"/>
                                </a:solidFill>
                                <a:effectLst/>
                                <a:latin typeface="Cambria Math" panose="02040503050406030204" pitchFamily="18" charset="0"/>
                                <a:ea typeface="+mn-ea"/>
                                <a:cs typeface="+mn-cs"/>
                              </a:rPr>
                            </m:ctrlPr>
                          </m:fPr>
                          <m:num>
                            <m:sSub>
                              <m:sSubPr>
                                <m:ctrlPr>
                                  <a:rPr lang="es-ES" sz="1100" b="0" i="1">
                                    <a:solidFill>
                                      <a:schemeClr val="tx1"/>
                                    </a:solidFill>
                                    <a:effectLst/>
                                    <a:latin typeface="Cambria Math" panose="02040503050406030204" pitchFamily="18" charset="0"/>
                                    <a:ea typeface="+mn-ea"/>
                                    <a:cs typeface="+mn-cs"/>
                                  </a:rPr>
                                </m:ctrlPr>
                              </m:sSubPr>
                              <m:e>
                                <m:r>
                                  <a:rPr lang="es-ES" sz="1100" b="0" i="1">
                                    <a:solidFill>
                                      <a:schemeClr val="tx1"/>
                                    </a:solidFill>
                                    <a:effectLst/>
                                    <a:latin typeface="Cambria Math" panose="02040503050406030204" pitchFamily="18" charset="0"/>
                                    <a:ea typeface="+mn-ea"/>
                                    <a:cs typeface="+mn-cs"/>
                                  </a:rPr>
                                  <m:t>𝜇</m:t>
                                </m:r>
                              </m:e>
                              <m:sub>
                                <m:r>
                                  <a:rPr lang="es-ES" sz="1100" b="0" i="1">
                                    <a:solidFill>
                                      <a:schemeClr val="tx1"/>
                                    </a:solidFill>
                                    <a:effectLst/>
                                    <a:latin typeface="Cambria Math" panose="02040503050406030204" pitchFamily="18" charset="0"/>
                                    <a:ea typeface="+mn-ea"/>
                                    <a:cs typeface="+mn-cs"/>
                                  </a:rPr>
                                  <m:t>𝑚</m:t>
                                </m:r>
                              </m:sub>
                            </m:sSub>
                            <m:r>
                              <a:rPr lang="es-ES" sz="1100" b="0" i="1">
                                <a:solidFill>
                                  <a:schemeClr val="tx1"/>
                                </a:solidFill>
                                <a:effectLst/>
                                <a:latin typeface="Cambria Math" panose="02040503050406030204" pitchFamily="18" charset="0"/>
                                <a:ea typeface="+mn-ea"/>
                                <a:cs typeface="+mn-cs"/>
                              </a:rPr>
                              <m:t>∗</m:t>
                            </m:r>
                            <m:r>
                              <a:rPr lang="es-ES" sz="1100" b="0" i="1">
                                <a:solidFill>
                                  <a:schemeClr val="tx1"/>
                                </a:solidFill>
                                <a:effectLst/>
                                <a:latin typeface="Cambria Math" panose="02040503050406030204" pitchFamily="18" charset="0"/>
                                <a:ea typeface="+mn-ea"/>
                                <a:cs typeface="+mn-cs"/>
                              </a:rPr>
                              <m:t>𝑀</m:t>
                            </m:r>
                          </m:num>
                          <m:den>
                            <m:sSub>
                              <m:sSubPr>
                                <m:ctrlPr>
                                  <a:rPr lang="es-ES" sz="1100" b="0" i="1">
                                    <a:solidFill>
                                      <a:schemeClr val="tx1"/>
                                    </a:solidFill>
                                    <a:effectLst/>
                                    <a:latin typeface="Cambria Math" panose="02040503050406030204" pitchFamily="18" charset="0"/>
                                    <a:ea typeface="+mn-ea"/>
                                    <a:cs typeface="+mn-cs"/>
                                  </a:rPr>
                                </m:ctrlPr>
                              </m:sSubPr>
                              <m:e>
                                <m:r>
                                  <a:rPr lang="es-ES" sz="1100" b="0" i="1">
                                    <a:solidFill>
                                      <a:schemeClr val="tx1"/>
                                    </a:solidFill>
                                    <a:effectLst/>
                                    <a:latin typeface="Cambria Math" panose="02040503050406030204" pitchFamily="18" charset="0"/>
                                    <a:ea typeface="+mn-ea"/>
                                    <a:cs typeface="+mn-cs"/>
                                  </a:rPr>
                                  <m:t>𝑘</m:t>
                                </m:r>
                              </m:e>
                              <m:sub>
                                <m:r>
                                  <a:rPr lang="es-ES" sz="1100" b="0" i="1">
                                    <a:solidFill>
                                      <a:schemeClr val="tx1"/>
                                    </a:solidFill>
                                    <a:effectLst/>
                                    <a:latin typeface="Cambria Math" panose="02040503050406030204" pitchFamily="18" charset="0"/>
                                    <a:ea typeface="+mn-ea"/>
                                    <a:cs typeface="+mn-cs"/>
                                  </a:rPr>
                                  <m:t>𝑚</m:t>
                                </m:r>
                              </m:sub>
                            </m:sSub>
                            <m:r>
                              <a:rPr lang="es-ES" sz="1100" b="0" i="1">
                                <a:solidFill>
                                  <a:schemeClr val="tx1"/>
                                </a:solidFill>
                                <a:effectLst/>
                                <a:latin typeface="Cambria Math" panose="02040503050406030204" pitchFamily="18" charset="0"/>
                                <a:ea typeface="+mn-ea"/>
                                <a:cs typeface="+mn-cs"/>
                              </a:rPr>
                              <m:t>+</m:t>
                            </m:r>
                            <m:r>
                              <a:rPr lang="es-ES" sz="1100" b="0" i="1">
                                <a:solidFill>
                                  <a:schemeClr val="tx1"/>
                                </a:solidFill>
                                <a:effectLst/>
                                <a:latin typeface="Cambria Math" panose="02040503050406030204" pitchFamily="18" charset="0"/>
                                <a:ea typeface="+mn-ea"/>
                                <a:cs typeface="+mn-cs"/>
                              </a:rPr>
                              <m:t>𝑀</m:t>
                            </m:r>
                          </m:den>
                        </m:f>
                      </m:e>
                    </m:d>
                    <m:r>
                      <a:rPr lang="es-ES" sz="1100" b="0" i="1">
                        <a:latin typeface="Cambria Math" panose="02040503050406030204" pitchFamily="18" charset="0"/>
                      </a:rPr>
                      <m:t>∗</m:t>
                    </m:r>
                    <m:d>
                      <m:dPr>
                        <m:ctrlPr>
                          <a:rPr lang="es-ES" sz="1100" b="0" i="1">
                            <a:latin typeface="Cambria Math" panose="02040503050406030204" pitchFamily="18" charset="0"/>
                          </a:rPr>
                        </m:ctrlPr>
                      </m:dPr>
                      <m:e>
                        <m:f>
                          <m:fPr>
                            <m:ctrlPr>
                              <a:rPr lang="es-ES" sz="1100" b="0" i="1">
                                <a:latin typeface="Cambria Math" panose="02040503050406030204" pitchFamily="18" charset="0"/>
                              </a:rPr>
                            </m:ctrlPr>
                          </m:fPr>
                          <m:num>
                            <m:sSub>
                              <m:sSubPr>
                                <m:ctrlPr>
                                  <a:rPr lang="es-ES" sz="1100" b="0" i="1">
                                    <a:latin typeface="Cambria Math" panose="02040503050406030204" pitchFamily="18" charset="0"/>
                                  </a:rPr>
                                </m:ctrlPr>
                              </m:sSubPr>
                              <m:e>
                                <m:sSup>
                                  <m:sSupPr>
                                    <m:ctrlPr>
                                      <a:rPr lang="es-ES" sz="1100" b="0" i="1">
                                        <a:latin typeface="Cambria Math" panose="02040503050406030204" pitchFamily="18" charset="0"/>
                                      </a:rPr>
                                    </m:ctrlPr>
                                  </m:sSupPr>
                                  <m:e>
                                    <m:r>
                                      <a:rPr lang="es-ES" sz="1100" b="0" i="1">
                                        <a:latin typeface="Cambria Math" panose="02040503050406030204" pitchFamily="18" charset="0"/>
                                      </a:rPr>
                                      <m:t>𝑘</m:t>
                                    </m:r>
                                  </m:e>
                                  <m:sup>
                                    <m:r>
                                      <a:rPr lang="es-ES" sz="1100" b="0" i="1">
                                        <a:latin typeface="Cambria Math" panose="02040503050406030204" pitchFamily="18" charset="0"/>
                                      </a:rPr>
                                      <m:t>′</m:t>
                                    </m:r>
                                  </m:sup>
                                </m:sSup>
                              </m:e>
                              <m:sub>
                                <m:r>
                                  <a:rPr lang="es-ES" sz="1100" b="0" i="1">
                                    <a:latin typeface="Cambria Math" panose="02040503050406030204" pitchFamily="18" charset="0"/>
                                  </a:rPr>
                                  <m:t>𝑔</m:t>
                                </m:r>
                              </m:sub>
                            </m:sSub>
                          </m:num>
                          <m:den>
                            <m:sSub>
                              <m:sSubPr>
                                <m:ctrlPr>
                                  <a:rPr lang="es-ES" sz="1100" b="0" i="1">
                                    <a:latin typeface="Cambria Math" panose="02040503050406030204" pitchFamily="18" charset="0"/>
                                  </a:rPr>
                                </m:ctrlPr>
                              </m:sSubPr>
                              <m:e>
                                <m:sSup>
                                  <m:sSupPr>
                                    <m:ctrlPr>
                                      <a:rPr lang="es-ES" sz="1100" b="0" i="1">
                                        <a:latin typeface="Cambria Math" panose="02040503050406030204" pitchFamily="18" charset="0"/>
                                      </a:rPr>
                                    </m:ctrlPr>
                                  </m:sSupPr>
                                  <m:e>
                                    <m:r>
                                      <a:rPr lang="es-ES" sz="1100" b="0" i="1">
                                        <a:latin typeface="Cambria Math" panose="02040503050406030204" pitchFamily="18" charset="0"/>
                                      </a:rPr>
                                      <m:t>𝑘</m:t>
                                    </m:r>
                                  </m:e>
                                  <m:sup>
                                    <m:r>
                                      <a:rPr lang="es-ES" sz="1100" b="0" i="1">
                                        <a:latin typeface="Cambria Math" panose="02040503050406030204" pitchFamily="18" charset="0"/>
                                      </a:rPr>
                                      <m:t>′</m:t>
                                    </m:r>
                                  </m:sup>
                                </m:sSup>
                              </m:e>
                              <m:sub>
                                <m:r>
                                  <a:rPr lang="es-ES" sz="1100" b="0" i="1">
                                    <a:latin typeface="Cambria Math" panose="02040503050406030204" pitchFamily="18" charset="0"/>
                                  </a:rPr>
                                  <m:t>𝑔</m:t>
                                </m:r>
                              </m:sub>
                            </m:sSub>
                            <m:r>
                              <a:rPr lang="es-ES" sz="1100" b="0" i="1">
                                <a:latin typeface="Cambria Math" panose="02040503050406030204" pitchFamily="18" charset="0"/>
                              </a:rPr>
                              <m:t>+</m:t>
                            </m:r>
                            <m:r>
                              <a:rPr lang="es-ES" sz="1100" b="0" i="1">
                                <a:latin typeface="Cambria Math" panose="02040503050406030204" pitchFamily="18" charset="0"/>
                              </a:rPr>
                              <m:t>𝐺</m:t>
                            </m:r>
                          </m:den>
                        </m:f>
                      </m:e>
                    </m:d>
                    <m:r>
                      <a:rPr lang="es-ES" sz="1100" b="0" i="1">
                        <a:latin typeface="Cambria Math" panose="02040503050406030204" pitchFamily="18" charset="0"/>
                      </a:rPr>
                      <m:t>∗</m:t>
                    </m:r>
                    <m:r>
                      <a:rPr lang="es-ES" sz="1100" b="0" i="1">
                        <a:latin typeface="Cambria Math" panose="02040503050406030204" pitchFamily="18" charset="0"/>
                      </a:rPr>
                      <m:t>𝑋</m:t>
                    </m:r>
                  </m:oMath>
                </m:oMathPara>
              </a14:m>
              <a:endParaRPr lang="es-ES" sz="1100"/>
            </a:p>
          </xdr:txBody>
        </xdr:sp>
      </mc:Choice>
      <mc:Fallback xmlns="">
        <xdr:sp macro="" textlink="">
          <xdr:nvSpPr>
            <xdr:cNvPr id="13" name="CuadroTexto 12">
              <a:extLst>
                <a:ext uri="{FF2B5EF4-FFF2-40B4-BE49-F238E27FC236}">
                  <a16:creationId xmlns:a16="http://schemas.microsoft.com/office/drawing/2014/main" id="{00000000-0008-0000-0900-00000D000000}"/>
                </a:ext>
              </a:extLst>
            </xdr:cNvPr>
            <xdr:cNvSpPr txBox="1"/>
          </xdr:nvSpPr>
          <xdr:spPr>
            <a:xfrm>
              <a:off x="609600" y="9937888"/>
              <a:ext cx="2162836" cy="384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ES" sz="1100" i="0">
                  <a:latin typeface="Cambria Math" panose="02040503050406030204" pitchFamily="18" charset="0"/>
                </a:rPr>
                <a:t>𝑑</a:t>
              </a:r>
              <a:r>
                <a:rPr lang="es-ES" sz="1100" b="0" i="0">
                  <a:latin typeface="Cambria Math" panose="02040503050406030204" pitchFamily="18" charset="0"/>
                </a:rPr>
                <a:t>𝑀/</a:t>
              </a:r>
              <a:r>
                <a:rPr lang="es-ES" sz="1100" i="0">
                  <a:latin typeface="Cambria Math" panose="02040503050406030204" pitchFamily="18" charset="0"/>
                </a:rPr>
                <a:t>𝑑</a:t>
              </a:r>
              <a:r>
                <a:rPr lang="es-ES" sz="1100" b="0" i="0">
                  <a:latin typeface="Cambria Math" panose="02040503050406030204" pitchFamily="18" charset="0"/>
                </a:rPr>
                <a:t>𝑡=−(</a:t>
              </a:r>
              <a:r>
                <a:rPr lang="es-ES" sz="1100" b="0" i="0">
                  <a:solidFill>
                    <a:schemeClr val="tx1"/>
                  </a:solidFill>
                  <a:effectLst/>
                  <a:latin typeface="Cambria Math" panose="02040503050406030204" pitchFamily="18" charset="0"/>
                  <a:ea typeface="+mn-ea"/>
                  <a:cs typeface="+mn-cs"/>
                </a:rPr>
                <a:t>(𝜇_𝑚∗𝑀)/(𝑘_𝑚+𝑀))</a:t>
              </a:r>
              <a:r>
                <a:rPr lang="es-ES" sz="1100" b="0" i="0">
                  <a:latin typeface="Cambria Math" panose="02040503050406030204" pitchFamily="18" charset="0"/>
                </a:rPr>
                <a:t>∗(〖𝑘^′〗_𝑔/(〖𝑘^′〗_𝑔+𝐺))∗𝑋</a:t>
              </a:r>
              <a:endParaRPr lang="es-ES" sz="1100"/>
            </a:p>
          </xdr:txBody>
        </xdr:sp>
      </mc:Fallback>
    </mc:AlternateContent>
    <xdr:clientData/>
  </xdr:oneCellAnchor>
  <xdr:twoCellAnchor>
    <xdr:from>
      <xdr:col>0</xdr:col>
      <xdr:colOff>89038</xdr:colOff>
      <xdr:row>58</xdr:row>
      <xdr:rowOff>9525</xdr:rowOff>
    </xdr:from>
    <xdr:to>
      <xdr:col>1</xdr:col>
      <xdr:colOff>22363</xdr:colOff>
      <xdr:row>62</xdr:row>
      <xdr:rowOff>95250</xdr:rowOff>
    </xdr:to>
    <xdr:sp macro="" textlink="">
      <xdr:nvSpPr>
        <xdr:cNvPr id="15" name="CuadroTexto 14">
          <a:extLst>
            <a:ext uri="{FF2B5EF4-FFF2-40B4-BE49-F238E27FC236}">
              <a16:creationId xmlns:a16="http://schemas.microsoft.com/office/drawing/2014/main" id="{00000000-0008-0000-0A00-00000F000000}"/>
            </a:ext>
          </a:extLst>
        </xdr:cNvPr>
        <xdr:cNvSpPr txBox="1"/>
      </xdr:nvSpPr>
      <xdr:spPr>
        <a:xfrm>
          <a:off x="89038" y="11058525"/>
          <a:ext cx="3295650"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ES" sz="1100"/>
        </a:p>
      </xdr:txBody>
    </xdr:sp>
    <xdr:clientData/>
  </xdr:twoCellAnchor>
  <xdr:oneCellAnchor>
    <xdr:from>
      <xdr:col>0</xdr:col>
      <xdr:colOff>381000</xdr:colOff>
      <xdr:row>59</xdr:row>
      <xdr:rowOff>38929</xdr:rowOff>
    </xdr:from>
    <xdr:ext cx="2799100" cy="437492"/>
    <mc:AlternateContent xmlns:mc="http://schemas.openxmlformats.org/markup-compatibility/2006" xmlns:a14="http://schemas.microsoft.com/office/drawing/2010/main">
      <mc:Choice Requires="a14">
        <xdr:sp macro="" textlink="">
          <xdr:nvSpPr>
            <xdr:cNvPr id="16" name="CuadroTexto 15">
              <a:extLst>
                <a:ext uri="{FF2B5EF4-FFF2-40B4-BE49-F238E27FC236}">
                  <a16:creationId xmlns:a16="http://schemas.microsoft.com/office/drawing/2014/main" id="{00000000-0008-0000-0A00-000010000000}"/>
                </a:ext>
              </a:extLst>
            </xdr:cNvPr>
            <xdr:cNvSpPr txBox="1"/>
          </xdr:nvSpPr>
          <xdr:spPr>
            <a:xfrm>
              <a:off x="381000" y="11278429"/>
              <a:ext cx="2799100" cy="4374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𝑁</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d>
                      <m:dPr>
                        <m:ctrlPr>
                          <a:rPr lang="es-ES" sz="1100" b="0" i="1">
                            <a:latin typeface="Cambria Math" panose="02040503050406030204" pitchFamily="18" charset="0"/>
                          </a:rPr>
                        </m:ctrlPr>
                      </m:dPr>
                      <m:e>
                        <m:f>
                          <m:fPr>
                            <m:ctrlPr>
                              <a:rPr lang="es-ES" sz="1100" b="0" i="1">
                                <a:solidFill>
                                  <a:schemeClr val="tx1"/>
                                </a:solidFill>
                                <a:effectLst/>
                                <a:latin typeface="Cambria Math" panose="02040503050406030204" pitchFamily="18" charset="0"/>
                                <a:ea typeface="+mn-ea"/>
                                <a:cs typeface="+mn-cs"/>
                              </a:rPr>
                            </m:ctrlPr>
                          </m:fPr>
                          <m:num>
                            <m:sSub>
                              <m:sSubPr>
                                <m:ctrlPr>
                                  <a:rPr lang="es-ES" sz="1100" b="0" i="1">
                                    <a:solidFill>
                                      <a:schemeClr val="tx1"/>
                                    </a:solidFill>
                                    <a:effectLst/>
                                    <a:latin typeface="Cambria Math" panose="02040503050406030204" pitchFamily="18" charset="0"/>
                                    <a:ea typeface="+mn-ea"/>
                                    <a:cs typeface="+mn-cs"/>
                                  </a:rPr>
                                </m:ctrlPr>
                              </m:sSubPr>
                              <m:e>
                                <m:r>
                                  <a:rPr lang="es-ES" sz="1100" b="0" i="1">
                                    <a:solidFill>
                                      <a:schemeClr val="tx1"/>
                                    </a:solidFill>
                                    <a:effectLst/>
                                    <a:latin typeface="Cambria Math" panose="02040503050406030204" pitchFamily="18" charset="0"/>
                                    <a:ea typeface="+mn-ea"/>
                                    <a:cs typeface="+mn-cs"/>
                                  </a:rPr>
                                  <m:t>𝜇</m:t>
                                </m:r>
                              </m:e>
                              <m:sub>
                                <m:r>
                                  <a:rPr lang="es-ES" sz="1100" b="0" i="1">
                                    <a:solidFill>
                                      <a:schemeClr val="tx1"/>
                                    </a:solidFill>
                                    <a:effectLst/>
                                    <a:latin typeface="Cambria Math" panose="02040503050406030204" pitchFamily="18" charset="0"/>
                                    <a:ea typeface="+mn-ea"/>
                                    <a:cs typeface="+mn-cs"/>
                                  </a:rPr>
                                  <m:t>𝑛</m:t>
                                </m:r>
                              </m:sub>
                            </m:sSub>
                            <m:r>
                              <a:rPr lang="es-ES" sz="1100" b="0" i="1">
                                <a:solidFill>
                                  <a:schemeClr val="tx1"/>
                                </a:solidFill>
                                <a:effectLst/>
                                <a:latin typeface="Cambria Math" panose="02040503050406030204" pitchFamily="18" charset="0"/>
                                <a:ea typeface="+mn-ea"/>
                                <a:cs typeface="+mn-cs"/>
                              </a:rPr>
                              <m:t>∗</m:t>
                            </m:r>
                            <m:r>
                              <a:rPr lang="es-ES" sz="1100" b="0" i="1">
                                <a:solidFill>
                                  <a:schemeClr val="tx1"/>
                                </a:solidFill>
                                <a:effectLst/>
                                <a:latin typeface="Cambria Math" panose="02040503050406030204" pitchFamily="18" charset="0"/>
                                <a:ea typeface="+mn-ea"/>
                                <a:cs typeface="+mn-cs"/>
                              </a:rPr>
                              <m:t>𝑁</m:t>
                            </m:r>
                          </m:num>
                          <m:den>
                            <m:sSub>
                              <m:sSubPr>
                                <m:ctrlPr>
                                  <a:rPr lang="es-ES" sz="1100" b="0" i="1">
                                    <a:solidFill>
                                      <a:schemeClr val="tx1"/>
                                    </a:solidFill>
                                    <a:effectLst/>
                                    <a:latin typeface="Cambria Math" panose="02040503050406030204" pitchFamily="18" charset="0"/>
                                    <a:ea typeface="+mn-ea"/>
                                    <a:cs typeface="+mn-cs"/>
                                  </a:rPr>
                                </m:ctrlPr>
                              </m:sSubPr>
                              <m:e>
                                <m:r>
                                  <a:rPr lang="es-ES" sz="1100" b="0" i="1">
                                    <a:solidFill>
                                      <a:schemeClr val="tx1"/>
                                    </a:solidFill>
                                    <a:effectLst/>
                                    <a:latin typeface="Cambria Math" panose="02040503050406030204" pitchFamily="18" charset="0"/>
                                    <a:ea typeface="+mn-ea"/>
                                    <a:cs typeface="+mn-cs"/>
                                  </a:rPr>
                                  <m:t>𝑘</m:t>
                                </m:r>
                              </m:e>
                              <m:sub>
                                <m:r>
                                  <a:rPr lang="es-ES" sz="1100" b="0" i="1">
                                    <a:solidFill>
                                      <a:schemeClr val="tx1"/>
                                    </a:solidFill>
                                    <a:effectLst/>
                                    <a:latin typeface="Cambria Math" panose="02040503050406030204" pitchFamily="18" charset="0"/>
                                    <a:ea typeface="+mn-ea"/>
                                    <a:cs typeface="+mn-cs"/>
                                  </a:rPr>
                                  <m:t>𝑛</m:t>
                                </m:r>
                              </m:sub>
                            </m:sSub>
                            <m:r>
                              <a:rPr lang="es-ES" sz="1100" b="0" i="1">
                                <a:solidFill>
                                  <a:schemeClr val="tx1"/>
                                </a:solidFill>
                                <a:effectLst/>
                                <a:latin typeface="Cambria Math" panose="02040503050406030204" pitchFamily="18" charset="0"/>
                                <a:ea typeface="+mn-ea"/>
                                <a:cs typeface="+mn-cs"/>
                              </a:rPr>
                              <m:t>+</m:t>
                            </m:r>
                            <m:r>
                              <a:rPr lang="es-ES" sz="1100" b="0" i="1">
                                <a:solidFill>
                                  <a:schemeClr val="tx1"/>
                                </a:solidFill>
                                <a:effectLst/>
                                <a:latin typeface="Cambria Math" panose="02040503050406030204" pitchFamily="18" charset="0"/>
                                <a:ea typeface="+mn-ea"/>
                                <a:cs typeface="+mn-cs"/>
                              </a:rPr>
                              <m:t>𝑁</m:t>
                            </m:r>
                          </m:den>
                        </m:f>
                      </m:e>
                    </m:d>
                    <m:r>
                      <a:rPr lang="es-ES" sz="1100" b="0" i="1">
                        <a:latin typeface="Cambria Math" panose="02040503050406030204" pitchFamily="18" charset="0"/>
                      </a:rPr>
                      <m:t>∗</m:t>
                    </m:r>
                    <m:d>
                      <m:dPr>
                        <m:ctrlPr>
                          <a:rPr lang="es-ES" sz="1100" b="0" i="1">
                            <a:solidFill>
                              <a:schemeClr val="tx1"/>
                            </a:solidFill>
                            <a:effectLst/>
                            <a:latin typeface="Cambria Math" panose="02040503050406030204" pitchFamily="18" charset="0"/>
                            <a:ea typeface="+mn-ea"/>
                            <a:cs typeface="+mn-cs"/>
                          </a:rPr>
                        </m:ctrlPr>
                      </m:dPr>
                      <m:e>
                        <m:f>
                          <m:fPr>
                            <m:ctrlPr>
                              <a:rPr lang="es-ES" sz="1100" b="0" i="1">
                                <a:solidFill>
                                  <a:schemeClr val="tx1"/>
                                </a:solidFill>
                                <a:effectLst/>
                                <a:latin typeface="Cambria Math" panose="02040503050406030204" pitchFamily="18" charset="0"/>
                                <a:ea typeface="+mn-ea"/>
                                <a:cs typeface="+mn-cs"/>
                              </a:rPr>
                            </m:ctrlPr>
                          </m:fPr>
                          <m:num>
                            <m:sSub>
                              <m:sSubPr>
                                <m:ctrlPr>
                                  <a:rPr lang="es-ES" sz="1100" b="0" i="1">
                                    <a:solidFill>
                                      <a:schemeClr val="tx1"/>
                                    </a:solidFill>
                                    <a:effectLst/>
                                    <a:latin typeface="Cambria Math" panose="02040503050406030204" pitchFamily="18" charset="0"/>
                                    <a:ea typeface="+mn-ea"/>
                                    <a:cs typeface="+mn-cs"/>
                                  </a:rPr>
                                </m:ctrlPr>
                              </m:sSubPr>
                              <m:e>
                                <m:sSup>
                                  <m:sSupPr>
                                    <m:ctrlPr>
                                      <a:rPr lang="es-ES" sz="1100" b="0" i="1">
                                        <a:solidFill>
                                          <a:schemeClr val="tx1"/>
                                        </a:solidFill>
                                        <a:effectLst/>
                                        <a:latin typeface="Cambria Math" panose="02040503050406030204" pitchFamily="18" charset="0"/>
                                        <a:ea typeface="+mn-ea"/>
                                        <a:cs typeface="+mn-cs"/>
                                      </a:rPr>
                                    </m:ctrlPr>
                                  </m:sSupPr>
                                  <m:e>
                                    <m:r>
                                      <a:rPr lang="es-ES" sz="1100" b="0" i="1">
                                        <a:solidFill>
                                          <a:schemeClr val="tx1"/>
                                        </a:solidFill>
                                        <a:effectLst/>
                                        <a:latin typeface="Cambria Math" panose="02040503050406030204" pitchFamily="18" charset="0"/>
                                        <a:ea typeface="+mn-ea"/>
                                        <a:cs typeface="+mn-cs"/>
                                      </a:rPr>
                                      <m:t>𝑘</m:t>
                                    </m:r>
                                  </m:e>
                                  <m:sup>
                                    <m:r>
                                      <a:rPr lang="es-ES" sz="1100" b="0" i="1">
                                        <a:solidFill>
                                          <a:schemeClr val="tx1"/>
                                        </a:solidFill>
                                        <a:effectLst/>
                                        <a:latin typeface="Cambria Math" panose="02040503050406030204" pitchFamily="18" charset="0"/>
                                        <a:ea typeface="+mn-ea"/>
                                        <a:cs typeface="+mn-cs"/>
                                      </a:rPr>
                                      <m:t>′</m:t>
                                    </m:r>
                                  </m:sup>
                                </m:sSup>
                              </m:e>
                              <m:sub>
                                <m:r>
                                  <a:rPr lang="es-ES" sz="1100" b="0" i="1">
                                    <a:solidFill>
                                      <a:schemeClr val="tx1"/>
                                    </a:solidFill>
                                    <a:effectLst/>
                                    <a:latin typeface="Cambria Math" panose="02040503050406030204" pitchFamily="18" charset="0"/>
                                    <a:ea typeface="+mn-ea"/>
                                    <a:cs typeface="+mn-cs"/>
                                  </a:rPr>
                                  <m:t>𝑔</m:t>
                                </m:r>
                              </m:sub>
                            </m:sSub>
                          </m:num>
                          <m:den>
                            <m:sSub>
                              <m:sSubPr>
                                <m:ctrlPr>
                                  <a:rPr lang="es-ES" sz="1100" b="0" i="1">
                                    <a:solidFill>
                                      <a:schemeClr val="tx1"/>
                                    </a:solidFill>
                                    <a:effectLst/>
                                    <a:latin typeface="Cambria Math" panose="02040503050406030204" pitchFamily="18" charset="0"/>
                                    <a:ea typeface="+mn-ea"/>
                                    <a:cs typeface="+mn-cs"/>
                                  </a:rPr>
                                </m:ctrlPr>
                              </m:sSubPr>
                              <m:e>
                                <m:sSup>
                                  <m:sSupPr>
                                    <m:ctrlPr>
                                      <a:rPr lang="es-ES" sz="1100" b="0" i="1">
                                        <a:solidFill>
                                          <a:schemeClr val="tx1"/>
                                        </a:solidFill>
                                        <a:effectLst/>
                                        <a:latin typeface="Cambria Math" panose="02040503050406030204" pitchFamily="18" charset="0"/>
                                        <a:ea typeface="+mn-ea"/>
                                        <a:cs typeface="+mn-cs"/>
                                      </a:rPr>
                                    </m:ctrlPr>
                                  </m:sSupPr>
                                  <m:e>
                                    <m:r>
                                      <a:rPr lang="es-ES" sz="1100" b="0" i="1">
                                        <a:solidFill>
                                          <a:schemeClr val="tx1"/>
                                        </a:solidFill>
                                        <a:effectLst/>
                                        <a:latin typeface="Cambria Math" panose="02040503050406030204" pitchFamily="18" charset="0"/>
                                        <a:ea typeface="+mn-ea"/>
                                        <a:cs typeface="+mn-cs"/>
                                      </a:rPr>
                                      <m:t>𝑘</m:t>
                                    </m:r>
                                  </m:e>
                                  <m:sup>
                                    <m:r>
                                      <a:rPr lang="es-ES" sz="1100" b="0" i="1">
                                        <a:solidFill>
                                          <a:schemeClr val="tx1"/>
                                        </a:solidFill>
                                        <a:effectLst/>
                                        <a:latin typeface="Cambria Math" panose="02040503050406030204" pitchFamily="18" charset="0"/>
                                        <a:ea typeface="+mn-ea"/>
                                        <a:cs typeface="+mn-cs"/>
                                      </a:rPr>
                                      <m:t>′</m:t>
                                    </m:r>
                                  </m:sup>
                                </m:sSup>
                              </m:e>
                              <m:sub>
                                <m:r>
                                  <a:rPr lang="es-ES" sz="1100" b="0" i="1">
                                    <a:solidFill>
                                      <a:schemeClr val="tx1"/>
                                    </a:solidFill>
                                    <a:effectLst/>
                                    <a:latin typeface="Cambria Math" panose="02040503050406030204" pitchFamily="18" charset="0"/>
                                    <a:ea typeface="+mn-ea"/>
                                    <a:cs typeface="+mn-cs"/>
                                  </a:rPr>
                                  <m:t>𝑔</m:t>
                                </m:r>
                              </m:sub>
                            </m:sSub>
                            <m:r>
                              <a:rPr lang="es-ES" sz="1100" b="0" i="1">
                                <a:solidFill>
                                  <a:schemeClr val="tx1"/>
                                </a:solidFill>
                                <a:effectLst/>
                                <a:latin typeface="Cambria Math" panose="02040503050406030204" pitchFamily="18" charset="0"/>
                                <a:ea typeface="+mn-ea"/>
                                <a:cs typeface="+mn-cs"/>
                              </a:rPr>
                              <m:t>+</m:t>
                            </m:r>
                            <m:r>
                              <a:rPr lang="es-ES" sz="1100" b="0" i="1">
                                <a:solidFill>
                                  <a:schemeClr val="tx1"/>
                                </a:solidFill>
                                <a:effectLst/>
                                <a:latin typeface="Cambria Math" panose="02040503050406030204" pitchFamily="18" charset="0"/>
                                <a:ea typeface="+mn-ea"/>
                                <a:cs typeface="+mn-cs"/>
                              </a:rPr>
                              <m:t>𝐺</m:t>
                            </m:r>
                          </m:den>
                        </m:f>
                      </m:e>
                    </m:d>
                    <m:r>
                      <a:rPr lang="es-ES" sz="1100" b="0" i="1">
                        <a:latin typeface="Cambria Math" panose="02040503050406030204" pitchFamily="18" charset="0"/>
                      </a:rPr>
                      <m:t>∗</m:t>
                    </m:r>
                    <m:d>
                      <m:dPr>
                        <m:ctrlPr>
                          <a:rPr lang="es-ES" sz="1100" b="0" i="1">
                            <a:solidFill>
                              <a:schemeClr val="tx1"/>
                            </a:solidFill>
                            <a:effectLst/>
                            <a:latin typeface="Cambria Math" panose="02040503050406030204" pitchFamily="18" charset="0"/>
                            <a:ea typeface="+mn-ea"/>
                            <a:cs typeface="+mn-cs"/>
                          </a:rPr>
                        </m:ctrlPr>
                      </m:dPr>
                      <m:e>
                        <m:f>
                          <m:fPr>
                            <m:ctrlPr>
                              <a:rPr lang="es-ES" sz="1100" b="0" i="1">
                                <a:solidFill>
                                  <a:schemeClr val="tx1"/>
                                </a:solidFill>
                                <a:effectLst/>
                                <a:latin typeface="Cambria Math" panose="02040503050406030204" pitchFamily="18" charset="0"/>
                                <a:ea typeface="+mn-ea"/>
                                <a:cs typeface="+mn-cs"/>
                              </a:rPr>
                            </m:ctrlPr>
                          </m:fPr>
                          <m:num>
                            <m:sSub>
                              <m:sSubPr>
                                <m:ctrlPr>
                                  <a:rPr lang="es-ES" sz="1100" b="0" i="1">
                                    <a:solidFill>
                                      <a:schemeClr val="tx1"/>
                                    </a:solidFill>
                                    <a:effectLst/>
                                    <a:latin typeface="Cambria Math" panose="02040503050406030204" pitchFamily="18" charset="0"/>
                                    <a:ea typeface="+mn-ea"/>
                                    <a:cs typeface="+mn-cs"/>
                                  </a:rPr>
                                </m:ctrlPr>
                              </m:sSubPr>
                              <m:e>
                                <m:sSup>
                                  <m:sSupPr>
                                    <m:ctrlPr>
                                      <a:rPr lang="es-ES" sz="1100" b="0" i="1">
                                        <a:solidFill>
                                          <a:schemeClr val="tx1"/>
                                        </a:solidFill>
                                        <a:effectLst/>
                                        <a:latin typeface="Cambria Math" panose="02040503050406030204" pitchFamily="18" charset="0"/>
                                        <a:ea typeface="+mn-ea"/>
                                        <a:cs typeface="+mn-cs"/>
                                      </a:rPr>
                                    </m:ctrlPr>
                                  </m:sSupPr>
                                  <m:e>
                                    <m:r>
                                      <a:rPr lang="es-ES" sz="1100" b="0" i="1">
                                        <a:solidFill>
                                          <a:schemeClr val="tx1"/>
                                        </a:solidFill>
                                        <a:effectLst/>
                                        <a:latin typeface="Cambria Math" panose="02040503050406030204" pitchFamily="18" charset="0"/>
                                        <a:ea typeface="+mn-ea"/>
                                        <a:cs typeface="+mn-cs"/>
                                      </a:rPr>
                                      <m:t>𝑘</m:t>
                                    </m:r>
                                  </m:e>
                                  <m:sup>
                                    <m:r>
                                      <a:rPr lang="es-ES" sz="1100" b="0" i="1">
                                        <a:solidFill>
                                          <a:schemeClr val="tx1"/>
                                        </a:solidFill>
                                        <a:effectLst/>
                                        <a:latin typeface="Cambria Math" panose="02040503050406030204" pitchFamily="18" charset="0"/>
                                        <a:ea typeface="+mn-ea"/>
                                        <a:cs typeface="+mn-cs"/>
                                      </a:rPr>
                                      <m:t>′</m:t>
                                    </m:r>
                                  </m:sup>
                                </m:sSup>
                              </m:e>
                              <m:sub>
                                <m:r>
                                  <a:rPr lang="es-ES" sz="1100" b="0" i="1">
                                    <a:solidFill>
                                      <a:schemeClr val="tx1"/>
                                    </a:solidFill>
                                    <a:effectLst/>
                                    <a:latin typeface="Cambria Math" panose="02040503050406030204" pitchFamily="18" charset="0"/>
                                    <a:ea typeface="+mn-ea"/>
                                    <a:cs typeface="+mn-cs"/>
                                  </a:rPr>
                                  <m:t>𝑚</m:t>
                                </m:r>
                              </m:sub>
                            </m:sSub>
                          </m:num>
                          <m:den>
                            <m:sSub>
                              <m:sSubPr>
                                <m:ctrlPr>
                                  <a:rPr lang="es-ES" sz="1100" b="0" i="1">
                                    <a:solidFill>
                                      <a:schemeClr val="tx1"/>
                                    </a:solidFill>
                                    <a:effectLst/>
                                    <a:latin typeface="Cambria Math" panose="02040503050406030204" pitchFamily="18" charset="0"/>
                                    <a:ea typeface="+mn-ea"/>
                                    <a:cs typeface="+mn-cs"/>
                                  </a:rPr>
                                </m:ctrlPr>
                              </m:sSubPr>
                              <m:e>
                                <m:sSup>
                                  <m:sSupPr>
                                    <m:ctrlPr>
                                      <a:rPr lang="es-ES" sz="1100" b="0" i="1">
                                        <a:solidFill>
                                          <a:schemeClr val="tx1"/>
                                        </a:solidFill>
                                        <a:effectLst/>
                                        <a:latin typeface="Cambria Math" panose="02040503050406030204" pitchFamily="18" charset="0"/>
                                        <a:ea typeface="+mn-ea"/>
                                        <a:cs typeface="+mn-cs"/>
                                      </a:rPr>
                                    </m:ctrlPr>
                                  </m:sSupPr>
                                  <m:e>
                                    <m:r>
                                      <a:rPr lang="es-ES" sz="1100" b="0" i="1">
                                        <a:solidFill>
                                          <a:schemeClr val="tx1"/>
                                        </a:solidFill>
                                        <a:effectLst/>
                                        <a:latin typeface="Cambria Math" panose="02040503050406030204" pitchFamily="18" charset="0"/>
                                        <a:ea typeface="+mn-ea"/>
                                        <a:cs typeface="+mn-cs"/>
                                      </a:rPr>
                                      <m:t>𝑘</m:t>
                                    </m:r>
                                  </m:e>
                                  <m:sup>
                                    <m:r>
                                      <a:rPr lang="es-ES" sz="1100" b="0" i="1">
                                        <a:solidFill>
                                          <a:schemeClr val="tx1"/>
                                        </a:solidFill>
                                        <a:effectLst/>
                                        <a:latin typeface="Cambria Math" panose="02040503050406030204" pitchFamily="18" charset="0"/>
                                        <a:ea typeface="+mn-ea"/>
                                        <a:cs typeface="+mn-cs"/>
                                      </a:rPr>
                                      <m:t>′</m:t>
                                    </m:r>
                                  </m:sup>
                                </m:sSup>
                              </m:e>
                              <m:sub>
                                <m:r>
                                  <a:rPr lang="es-ES" sz="1100" b="0" i="1">
                                    <a:solidFill>
                                      <a:schemeClr val="tx1"/>
                                    </a:solidFill>
                                    <a:effectLst/>
                                    <a:latin typeface="Cambria Math" panose="02040503050406030204" pitchFamily="18" charset="0"/>
                                    <a:ea typeface="+mn-ea"/>
                                    <a:cs typeface="+mn-cs"/>
                                  </a:rPr>
                                  <m:t>𝑚</m:t>
                                </m:r>
                              </m:sub>
                            </m:sSub>
                            <m:r>
                              <a:rPr lang="es-ES" sz="1100" b="0" i="1">
                                <a:solidFill>
                                  <a:schemeClr val="tx1"/>
                                </a:solidFill>
                                <a:effectLst/>
                                <a:latin typeface="Cambria Math" panose="02040503050406030204" pitchFamily="18" charset="0"/>
                                <a:ea typeface="+mn-ea"/>
                                <a:cs typeface="+mn-cs"/>
                              </a:rPr>
                              <m:t>+</m:t>
                            </m:r>
                            <m:r>
                              <a:rPr lang="es-ES" sz="1100" b="0" i="1">
                                <a:solidFill>
                                  <a:schemeClr val="tx1"/>
                                </a:solidFill>
                                <a:effectLst/>
                                <a:latin typeface="Cambria Math" panose="02040503050406030204" pitchFamily="18" charset="0"/>
                                <a:ea typeface="+mn-ea"/>
                                <a:cs typeface="+mn-cs"/>
                              </a:rPr>
                              <m:t>𝑀</m:t>
                            </m:r>
                          </m:den>
                        </m:f>
                      </m:e>
                    </m:d>
                    <m:r>
                      <a:rPr lang="es-ES" sz="1100" b="0" i="1">
                        <a:latin typeface="Cambria Math" panose="02040503050406030204" pitchFamily="18" charset="0"/>
                      </a:rPr>
                      <m:t>𝑋</m:t>
                    </m:r>
                  </m:oMath>
                </m:oMathPara>
              </a14:m>
              <a:endParaRPr lang="es-ES" sz="1100"/>
            </a:p>
          </xdr:txBody>
        </xdr:sp>
      </mc:Choice>
      <mc:Fallback xmlns="">
        <xdr:sp macro="" textlink="">
          <xdr:nvSpPr>
            <xdr:cNvPr id="16" name="CuadroTexto 15">
              <a:extLst>
                <a:ext uri="{FF2B5EF4-FFF2-40B4-BE49-F238E27FC236}">
                  <a16:creationId xmlns:a16="http://schemas.microsoft.com/office/drawing/2014/main" id="{00000000-0008-0000-0900-000010000000}"/>
                </a:ext>
              </a:extLst>
            </xdr:cNvPr>
            <xdr:cNvSpPr txBox="1"/>
          </xdr:nvSpPr>
          <xdr:spPr>
            <a:xfrm>
              <a:off x="381000" y="11278429"/>
              <a:ext cx="2799100" cy="4374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ES" sz="1100" i="0">
                  <a:latin typeface="Cambria Math" panose="02040503050406030204" pitchFamily="18" charset="0"/>
                </a:rPr>
                <a:t>𝑑</a:t>
              </a:r>
              <a:r>
                <a:rPr lang="es-ES" sz="1100" b="0" i="0">
                  <a:latin typeface="Cambria Math" panose="02040503050406030204" pitchFamily="18" charset="0"/>
                </a:rPr>
                <a:t>𝑁/</a:t>
              </a:r>
              <a:r>
                <a:rPr lang="es-ES" sz="1100" i="0">
                  <a:latin typeface="Cambria Math" panose="02040503050406030204" pitchFamily="18" charset="0"/>
                </a:rPr>
                <a:t>𝑑</a:t>
              </a:r>
              <a:r>
                <a:rPr lang="es-ES" sz="1100" b="0" i="0">
                  <a:latin typeface="Cambria Math" panose="02040503050406030204" pitchFamily="18" charset="0"/>
                </a:rPr>
                <a:t>𝑡=−(</a:t>
              </a:r>
              <a:r>
                <a:rPr lang="es-ES" sz="1100" b="0" i="0">
                  <a:solidFill>
                    <a:schemeClr val="tx1"/>
                  </a:solidFill>
                  <a:effectLst/>
                  <a:latin typeface="Cambria Math" panose="02040503050406030204" pitchFamily="18" charset="0"/>
                  <a:ea typeface="+mn-ea"/>
                  <a:cs typeface="+mn-cs"/>
                </a:rPr>
                <a:t>(𝜇_𝑛∗𝑁)/(𝑘_𝑛+𝑁))</a:t>
              </a:r>
              <a:r>
                <a:rPr lang="es-ES" sz="1100" b="0" i="0">
                  <a:latin typeface="Cambria Math" panose="02040503050406030204" pitchFamily="18" charset="0"/>
                </a:rPr>
                <a:t>∗</a:t>
              </a:r>
              <a:r>
                <a:rPr lang="es-ES" sz="1100" b="0" i="0">
                  <a:solidFill>
                    <a:schemeClr val="tx1"/>
                  </a:solidFill>
                  <a:effectLst/>
                  <a:latin typeface="Cambria Math" panose="02040503050406030204" pitchFamily="18" charset="0"/>
                  <a:ea typeface="+mn-ea"/>
                  <a:cs typeface="+mn-cs"/>
                </a:rPr>
                <a:t>(〖𝑘^′〗_𝑔/(〖𝑘^′〗_𝑔+𝐺))</a:t>
              </a:r>
              <a:r>
                <a:rPr lang="es-ES" sz="1100" b="0" i="0">
                  <a:latin typeface="Cambria Math" panose="02040503050406030204" pitchFamily="18" charset="0"/>
                </a:rPr>
                <a:t>∗</a:t>
              </a:r>
              <a:r>
                <a:rPr lang="es-ES" sz="1100" b="0" i="0">
                  <a:solidFill>
                    <a:schemeClr val="tx1"/>
                  </a:solidFill>
                  <a:effectLst/>
                  <a:latin typeface="Cambria Math" panose="02040503050406030204" pitchFamily="18" charset="0"/>
                  <a:ea typeface="+mn-ea"/>
                  <a:cs typeface="+mn-cs"/>
                </a:rPr>
                <a:t>(〖𝑘^′〗_𝑚/(〖𝑘^′〗_𝑚+𝑀))</a:t>
              </a:r>
              <a:r>
                <a:rPr lang="es-ES" sz="1100" b="0" i="0">
                  <a:latin typeface="Cambria Math" panose="02040503050406030204" pitchFamily="18" charset="0"/>
                </a:rPr>
                <a:t>𝑋</a:t>
              </a:r>
              <a:endParaRPr lang="es-ES" sz="1100"/>
            </a:p>
          </xdr:txBody>
        </xdr:sp>
      </mc:Fallback>
    </mc:AlternateContent>
    <xdr:clientData/>
  </xdr:oneCellAnchor>
  <xdr:twoCellAnchor>
    <xdr:from>
      <xdr:col>3</xdr:col>
      <xdr:colOff>533400</xdr:colOff>
      <xdr:row>1</xdr:row>
      <xdr:rowOff>133350</xdr:rowOff>
    </xdr:from>
    <xdr:to>
      <xdr:col>4</xdr:col>
      <xdr:colOff>304800</xdr:colOff>
      <xdr:row>10</xdr:row>
      <xdr:rowOff>133350</xdr:rowOff>
    </xdr:to>
    <xdr:sp macro="" textlink="">
      <xdr:nvSpPr>
        <xdr:cNvPr id="32" name="Rectángulo redondeado 31">
          <a:extLst>
            <a:ext uri="{FF2B5EF4-FFF2-40B4-BE49-F238E27FC236}">
              <a16:creationId xmlns:a16="http://schemas.microsoft.com/office/drawing/2014/main" id="{00000000-0008-0000-0A00-000020000000}"/>
            </a:ext>
          </a:extLst>
        </xdr:cNvPr>
        <xdr:cNvSpPr/>
      </xdr:nvSpPr>
      <xdr:spPr>
        <a:xfrm>
          <a:off x="6448425" y="323850"/>
          <a:ext cx="1600200" cy="17145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ES" sz="1100"/>
        </a:p>
      </xdr:txBody>
    </xdr:sp>
    <xdr:clientData/>
  </xdr:twoCellAnchor>
  <xdr:twoCellAnchor>
    <xdr:from>
      <xdr:col>3</xdr:col>
      <xdr:colOff>504825</xdr:colOff>
      <xdr:row>3</xdr:row>
      <xdr:rowOff>133350</xdr:rowOff>
    </xdr:from>
    <xdr:to>
      <xdr:col>4</xdr:col>
      <xdr:colOff>295275</xdr:colOff>
      <xdr:row>3</xdr:row>
      <xdr:rowOff>133351</xdr:rowOff>
    </xdr:to>
    <xdr:cxnSp macro="">
      <xdr:nvCxnSpPr>
        <xdr:cNvPr id="33" name="Conector recto 32">
          <a:extLst>
            <a:ext uri="{FF2B5EF4-FFF2-40B4-BE49-F238E27FC236}">
              <a16:creationId xmlns:a16="http://schemas.microsoft.com/office/drawing/2014/main" id="{00000000-0008-0000-0A00-000021000000}"/>
            </a:ext>
          </a:extLst>
        </xdr:cNvPr>
        <xdr:cNvCxnSpPr/>
      </xdr:nvCxnSpPr>
      <xdr:spPr>
        <a:xfrm flipV="1">
          <a:off x="6419850" y="704850"/>
          <a:ext cx="1619250" cy="1"/>
        </a:xfrm>
        <a:prstGeom prst="line">
          <a:avLst/>
        </a:prstGeom>
        <a:ln w="28575">
          <a:solidFill>
            <a:schemeClr val="accent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923925</xdr:colOff>
      <xdr:row>3</xdr:row>
      <xdr:rowOff>133351</xdr:rowOff>
    </xdr:from>
    <xdr:to>
      <xdr:col>3</xdr:col>
      <xdr:colOff>1504950</xdr:colOff>
      <xdr:row>10</xdr:row>
      <xdr:rowOff>85727</xdr:rowOff>
    </xdr:to>
    <xdr:sp macro="" textlink="">
      <xdr:nvSpPr>
        <xdr:cNvPr id="37" name="CuadroTexto 36">
          <a:extLst>
            <a:ext uri="{FF2B5EF4-FFF2-40B4-BE49-F238E27FC236}">
              <a16:creationId xmlns:a16="http://schemas.microsoft.com/office/drawing/2014/main" id="{00000000-0008-0000-0A00-000025000000}"/>
            </a:ext>
          </a:extLst>
        </xdr:cNvPr>
        <xdr:cNvSpPr txBox="1"/>
      </xdr:nvSpPr>
      <xdr:spPr>
        <a:xfrm>
          <a:off x="6838950" y="704851"/>
          <a:ext cx="581025" cy="12858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ES" sz="1100"/>
            <a:t>Vf</a:t>
          </a:r>
          <a:r>
            <a:rPr lang="es-ES" sz="1100" baseline="0"/>
            <a:t>            </a:t>
          </a:r>
          <a:endParaRPr lang="es-ES" sz="1100"/>
        </a:p>
        <a:p>
          <a:r>
            <a:rPr lang="es-ES" sz="1100"/>
            <a:t>tf</a:t>
          </a:r>
        </a:p>
        <a:p>
          <a:r>
            <a:rPr lang="es-ES" sz="1100"/>
            <a:t>Gf</a:t>
          </a:r>
        </a:p>
        <a:p>
          <a:r>
            <a:rPr lang="es-ES" sz="1100"/>
            <a:t>Mf</a:t>
          </a:r>
        </a:p>
        <a:p>
          <a:r>
            <a:rPr lang="es-ES" sz="1100"/>
            <a:t>Nf</a:t>
          </a:r>
        </a:p>
        <a:p>
          <a:r>
            <a:rPr lang="es-ES" sz="1100"/>
            <a:t>Xf</a:t>
          </a:r>
        </a:p>
        <a:p>
          <a:r>
            <a:rPr lang="es-ES" sz="1100"/>
            <a:t>Ef</a:t>
          </a:r>
        </a:p>
        <a:p>
          <a:endParaRPr lang="es-ES" sz="1100"/>
        </a:p>
        <a:p>
          <a:endParaRPr lang="es-ES" sz="1100"/>
        </a:p>
      </xdr:txBody>
    </xdr:sp>
    <xdr:clientData/>
  </xdr:twoCellAnchor>
  <xdr:twoCellAnchor>
    <xdr:from>
      <xdr:col>4</xdr:col>
      <xdr:colOff>523874</xdr:colOff>
      <xdr:row>0</xdr:row>
      <xdr:rowOff>104775</xdr:rowOff>
    </xdr:from>
    <xdr:to>
      <xdr:col>4</xdr:col>
      <xdr:colOff>3028949</xdr:colOff>
      <xdr:row>2</xdr:row>
      <xdr:rowOff>95250</xdr:rowOff>
    </xdr:to>
    <xdr:sp macro="" textlink="">
      <xdr:nvSpPr>
        <xdr:cNvPr id="18" name="CuadroTexto 17">
          <a:extLst>
            <a:ext uri="{FF2B5EF4-FFF2-40B4-BE49-F238E27FC236}">
              <a16:creationId xmlns:a16="http://schemas.microsoft.com/office/drawing/2014/main" id="{00000000-0008-0000-0A00-000012000000}"/>
            </a:ext>
          </a:extLst>
        </xdr:cNvPr>
        <xdr:cNvSpPr txBox="1"/>
      </xdr:nvSpPr>
      <xdr:spPr>
        <a:xfrm>
          <a:off x="8267699" y="104775"/>
          <a:ext cx="250507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Estado Final</a:t>
          </a:r>
        </a:p>
      </xdr:txBody>
    </xdr:sp>
    <xdr:clientData/>
  </xdr:twoCellAnchor>
  <xdr:twoCellAnchor>
    <xdr:from>
      <xdr:col>0</xdr:col>
      <xdr:colOff>2686050</xdr:colOff>
      <xdr:row>1</xdr:row>
      <xdr:rowOff>133350</xdr:rowOff>
    </xdr:from>
    <xdr:to>
      <xdr:col>2</xdr:col>
      <xdr:colOff>200025</xdr:colOff>
      <xdr:row>10</xdr:row>
      <xdr:rowOff>133350</xdr:rowOff>
    </xdr:to>
    <xdr:sp macro="" textlink="">
      <xdr:nvSpPr>
        <xdr:cNvPr id="19" name="Rectángulo redondeado 18">
          <a:extLst>
            <a:ext uri="{FF2B5EF4-FFF2-40B4-BE49-F238E27FC236}">
              <a16:creationId xmlns:a16="http://schemas.microsoft.com/office/drawing/2014/main" id="{00000000-0008-0000-0A00-000013000000}"/>
            </a:ext>
          </a:extLst>
        </xdr:cNvPr>
        <xdr:cNvSpPr/>
      </xdr:nvSpPr>
      <xdr:spPr>
        <a:xfrm>
          <a:off x="2686050" y="323850"/>
          <a:ext cx="1600200" cy="17145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ES" sz="1100"/>
        </a:p>
      </xdr:txBody>
    </xdr:sp>
    <xdr:clientData/>
  </xdr:twoCellAnchor>
  <xdr:twoCellAnchor>
    <xdr:from>
      <xdr:col>0</xdr:col>
      <xdr:colOff>2667000</xdr:colOff>
      <xdr:row>3</xdr:row>
      <xdr:rowOff>114300</xdr:rowOff>
    </xdr:from>
    <xdr:to>
      <xdr:col>2</xdr:col>
      <xdr:colOff>200025</xdr:colOff>
      <xdr:row>3</xdr:row>
      <xdr:rowOff>114301</xdr:rowOff>
    </xdr:to>
    <xdr:cxnSp macro="">
      <xdr:nvCxnSpPr>
        <xdr:cNvPr id="20" name="Conector recto 19">
          <a:extLst>
            <a:ext uri="{FF2B5EF4-FFF2-40B4-BE49-F238E27FC236}">
              <a16:creationId xmlns:a16="http://schemas.microsoft.com/office/drawing/2014/main" id="{00000000-0008-0000-0A00-000014000000}"/>
            </a:ext>
          </a:extLst>
        </xdr:cNvPr>
        <xdr:cNvCxnSpPr/>
      </xdr:nvCxnSpPr>
      <xdr:spPr>
        <a:xfrm flipV="1">
          <a:off x="2667000" y="685800"/>
          <a:ext cx="1619250" cy="1"/>
        </a:xfrm>
        <a:prstGeom prst="line">
          <a:avLst/>
        </a:prstGeom>
        <a:ln w="28575">
          <a:solidFill>
            <a:schemeClr val="accent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3000375</xdr:colOff>
      <xdr:row>3</xdr:row>
      <xdr:rowOff>161926</xdr:rowOff>
    </xdr:from>
    <xdr:to>
      <xdr:col>1</xdr:col>
      <xdr:colOff>219075</xdr:colOff>
      <xdr:row>10</xdr:row>
      <xdr:rowOff>114302</xdr:rowOff>
    </xdr:to>
    <xdr:sp macro="" textlink="">
      <xdr:nvSpPr>
        <xdr:cNvPr id="22" name="CuadroTexto 21">
          <a:extLst>
            <a:ext uri="{FF2B5EF4-FFF2-40B4-BE49-F238E27FC236}">
              <a16:creationId xmlns:a16="http://schemas.microsoft.com/office/drawing/2014/main" id="{00000000-0008-0000-0A00-000016000000}"/>
            </a:ext>
          </a:extLst>
        </xdr:cNvPr>
        <xdr:cNvSpPr txBox="1"/>
      </xdr:nvSpPr>
      <xdr:spPr>
        <a:xfrm>
          <a:off x="3000375" y="733426"/>
          <a:ext cx="581025" cy="12858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ES" sz="1100"/>
            <a:t>Vo</a:t>
          </a:r>
          <a:r>
            <a:rPr lang="es-ES" sz="1100" baseline="0"/>
            <a:t>            </a:t>
          </a:r>
          <a:endParaRPr lang="es-ES" sz="1100"/>
        </a:p>
        <a:p>
          <a:r>
            <a:rPr lang="es-ES" sz="1100"/>
            <a:t>to</a:t>
          </a:r>
        </a:p>
        <a:p>
          <a:r>
            <a:rPr lang="es-ES" sz="1100"/>
            <a:t>Go</a:t>
          </a:r>
        </a:p>
        <a:p>
          <a:r>
            <a:rPr lang="es-ES" sz="1100"/>
            <a:t>Mo</a:t>
          </a:r>
        </a:p>
        <a:p>
          <a:r>
            <a:rPr lang="es-ES" sz="1100"/>
            <a:t>No</a:t>
          </a:r>
        </a:p>
        <a:p>
          <a:r>
            <a:rPr lang="es-ES" sz="1100"/>
            <a:t>Xo</a:t>
          </a:r>
        </a:p>
        <a:p>
          <a:r>
            <a:rPr lang="es-ES" sz="1100"/>
            <a:t>Eo</a:t>
          </a:r>
        </a:p>
        <a:p>
          <a:endParaRPr lang="es-ES" sz="1100"/>
        </a:p>
        <a:p>
          <a:endParaRPr lang="es-ES" sz="1100"/>
        </a:p>
      </xdr:txBody>
    </xdr:sp>
    <xdr:clientData/>
  </xdr:twoCellAnchor>
  <xdr:twoCellAnchor>
    <xdr:from>
      <xdr:col>2</xdr:col>
      <xdr:colOff>161924</xdr:colOff>
      <xdr:row>0</xdr:row>
      <xdr:rowOff>104775</xdr:rowOff>
    </xdr:from>
    <xdr:to>
      <xdr:col>2</xdr:col>
      <xdr:colOff>1609725</xdr:colOff>
      <xdr:row>2</xdr:row>
      <xdr:rowOff>95250</xdr:rowOff>
    </xdr:to>
    <xdr:sp macro="" textlink="">
      <xdr:nvSpPr>
        <xdr:cNvPr id="23" name="CuadroTexto 22">
          <a:extLst>
            <a:ext uri="{FF2B5EF4-FFF2-40B4-BE49-F238E27FC236}">
              <a16:creationId xmlns:a16="http://schemas.microsoft.com/office/drawing/2014/main" id="{00000000-0008-0000-0A00-000017000000}"/>
            </a:ext>
          </a:extLst>
        </xdr:cNvPr>
        <xdr:cNvSpPr txBox="1"/>
      </xdr:nvSpPr>
      <xdr:spPr>
        <a:xfrm>
          <a:off x="4248149" y="104775"/>
          <a:ext cx="1447801"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Estado Inicial</a:t>
          </a:r>
        </a:p>
      </xdr:txBody>
    </xdr:sp>
    <xdr:clientData/>
  </xdr:twoCellAnchor>
  <xdr:twoCellAnchor>
    <xdr:from>
      <xdr:col>2</xdr:col>
      <xdr:colOff>9525</xdr:colOff>
      <xdr:row>55</xdr:row>
      <xdr:rowOff>9525</xdr:rowOff>
    </xdr:from>
    <xdr:to>
      <xdr:col>4</xdr:col>
      <xdr:colOff>3581400</xdr:colOff>
      <xdr:row>59</xdr:row>
      <xdr:rowOff>0</xdr:rowOff>
    </xdr:to>
    <xdr:sp macro="" textlink="">
      <xdr:nvSpPr>
        <xdr:cNvPr id="5" name="CuadroTexto 4">
          <a:extLst>
            <a:ext uri="{FF2B5EF4-FFF2-40B4-BE49-F238E27FC236}">
              <a16:creationId xmlns:a16="http://schemas.microsoft.com/office/drawing/2014/main" id="{00000000-0008-0000-0A00-000005000000}"/>
            </a:ext>
          </a:extLst>
        </xdr:cNvPr>
        <xdr:cNvSpPr txBox="1"/>
      </xdr:nvSpPr>
      <xdr:spPr>
        <a:xfrm>
          <a:off x="4095750" y="10487025"/>
          <a:ext cx="7229475"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ES" sz="1100"/>
        </a:p>
      </xdr:txBody>
    </xdr:sp>
    <xdr:clientData/>
  </xdr:twoCellAnchor>
  <xdr:oneCellAnchor>
    <xdr:from>
      <xdr:col>2</xdr:col>
      <xdr:colOff>809624</xdr:colOff>
      <xdr:row>55</xdr:row>
      <xdr:rowOff>152400</xdr:rowOff>
    </xdr:from>
    <xdr:ext cx="5705475" cy="430952"/>
    <mc:AlternateContent xmlns:mc="http://schemas.openxmlformats.org/markup-compatibility/2006" xmlns:a14="http://schemas.microsoft.com/office/drawing/2010/main">
      <mc:Choice Requires="a14">
        <xdr:sp macro="" textlink="">
          <xdr:nvSpPr>
            <xdr:cNvPr id="25" name="TextBox 4">
              <a:extLst>
                <a:ext uri="{FF2B5EF4-FFF2-40B4-BE49-F238E27FC236}">
                  <a16:creationId xmlns:a16="http://schemas.microsoft.com/office/drawing/2014/main" id="{00000000-0008-0000-0A00-000019000000}"/>
                </a:ext>
              </a:extLst>
            </xdr:cNvPr>
            <xdr:cNvSpPr txBox="1"/>
          </xdr:nvSpPr>
          <xdr:spPr>
            <a:xfrm>
              <a:off x="4895849" y="10629900"/>
              <a:ext cx="5705475" cy="4309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latin typeface="Cambria Math" panose="02040503050406030204" pitchFamily="18" charset="0"/>
                          </a:rPr>
                        </m:ctrlPr>
                      </m:sSubPr>
                      <m:e>
                        <m:r>
                          <a:rPr lang="es-CL" sz="1100" b="0" i="1">
                            <a:latin typeface="Cambria Math" panose="02040503050406030204" pitchFamily="18" charset="0"/>
                          </a:rPr>
                          <m:t>𝑐</m:t>
                        </m:r>
                      </m:e>
                      <m:sub>
                        <m:r>
                          <a:rPr lang="es-CL" sz="1100" b="0" i="1">
                            <a:latin typeface="Cambria Math" panose="02040503050406030204" pitchFamily="18" charset="0"/>
                          </a:rPr>
                          <m:t>1</m:t>
                        </m:r>
                      </m:sub>
                    </m:sSub>
                    <m:sSub>
                      <m:sSubPr>
                        <m:ctrlPr>
                          <a:rPr lang="es-CL" sz="1100" b="0" i="1">
                            <a:latin typeface="Cambria Math" panose="02040503050406030204" pitchFamily="18" charset="0"/>
                          </a:rPr>
                        </m:ctrlPr>
                      </m:sSubPr>
                      <m:e>
                        <m:r>
                          <a:rPr lang="es-CL" sz="1100" b="0" i="1">
                            <a:latin typeface="Cambria Math" panose="02040503050406030204" pitchFamily="18" charset="0"/>
                          </a:rPr>
                          <m:t>𝐶</m:t>
                        </m:r>
                      </m:e>
                      <m:sub>
                        <m:r>
                          <a:rPr lang="es-CL" sz="1100" b="0" i="1">
                            <a:latin typeface="Cambria Math" panose="02040503050406030204" pitchFamily="18" charset="0"/>
                          </a:rPr>
                          <m:t>6</m:t>
                        </m:r>
                      </m:sub>
                    </m:sSub>
                    <m:sSub>
                      <m:sSubPr>
                        <m:ctrlPr>
                          <a:rPr lang="es-CL" sz="1100" b="0" i="1">
                            <a:latin typeface="Cambria Math" panose="02040503050406030204" pitchFamily="18" charset="0"/>
                          </a:rPr>
                        </m:ctrlPr>
                      </m:sSubPr>
                      <m:e>
                        <m:r>
                          <a:rPr lang="es-CL" sz="1100" b="0" i="1">
                            <a:latin typeface="Cambria Math" panose="02040503050406030204" pitchFamily="18" charset="0"/>
                          </a:rPr>
                          <m:t>𝐻</m:t>
                        </m:r>
                      </m:e>
                      <m:sub>
                        <m:r>
                          <a:rPr lang="es-CL" sz="1100" b="0" i="1">
                            <a:latin typeface="Cambria Math" panose="02040503050406030204" pitchFamily="18" charset="0"/>
                          </a:rPr>
                          <m:t>12</m:t>
                        </m:r>
                      </m:sub>
                    </m:sSub>
                    <m:sSub>
                      <m:sSubPr>
                        <m:ctrlPr>
                          <a:rPr lang="es-CL" sz="1100" b="0" i="1">
                            <a:latin typeface="Cambria Math" panose="02040503050406030204" pitchFamily="18" charset="0"/>
                          </a:rPr>
                        </m:ctrlPr>
                      </m:sSubPr>
                      <m:e>
                        <m:sSub>
                          <m:sSubPr>
                            <m:ctrlPr>
                              <a:rPr lang="es-CL" sz="1100" b="0" i="1">
                                <a:latin typeface="Cambria Math" panose="02040503050406030204" pitchFamily="18" charset="0"/>
                              </a:rPr>
                            </m:ctrlPr>
                          </m:sSubPr>
                          <m:e>
                            <m:r>
                              <a:rPr lang="es-CL" sz="1100" b="0" i="1">
                                <a:latin typeface="Cambria Math" panose="02040503050406030204" pitchFamily="18" charset="0"/>
                              </a:rPr>
                              <m:t>𝑂</m:t>
                            </m:r>
                          </m:e>
                          <m:sub>
                            <m:r>
                              <a:rPr lang="es-CL" sz="1100" b="0" i="1">
                                <a:latin typeface="Cambria Math" panose="02040503050406030204" pitchFamily="18" charset="0"/>
                              </a:rPr>
                              <m:t>6</m:t>
                            </m:r>
                          </m:sub>
                        </m:sSub>
                      </m:e>
                      <m:sub>
                        <m:d>
                          <m:dPr>
                            <m:ctrlPr>
                              <a:rPr lang="es-CL" sz="1100" b="0" i="1">
                                <a:latin typeface="Cambria Math" panose="02040503050406030204" pitchFamily="18" charset="0"/>
                              </a:rPr>
                            </m:ctrlPr>
                          </m:dPr>
                          <m:e>
                            <m:r>
                              <a:rPr lang="es-CL" sz="1100" b="0" i="1">
                                <a:latin typeface="Cambria Math" panose="02040503050406030204" pitchFamily="18" charset="0"/>
                              </a:rPr>
                              <m:t>𝑎𝑐</m:t>
                            </m:r>
                          </m:e>
                        </m:d>
                      </m:sub>
                    </m:sSub>
                    <m:r>
                      <a:rPr lang="es-CL" sz="1100" b="0" i="1">
                        <a:latin typeface="Cambria Math" panose="02040503050406030204" pitchFamily="18" charset="0"/>
                      </a:rPr>
                      <m:t>+</m:t>
                    </m:r>
                    <m:sSub>
                      <m:sSubPr>
                        <m:ctrlPr>
                          <a:rPr lang="es-CL" sz="1100" b="0" i="1">
                            <a:latin typeface="Cambria Math" panose="02040503050406030204" pitchFamily="18" charset="0"/>
                          </a:rPr>
                        </m:ctrlPr>
                      </m:sSubPr>
                      <m:e>
                        <m:r>
                          <a:rPr lang="es-CL" sz="1100" b="0" i="1">
                            <a:latin typeface="Cambria Math" panose="02040503050406030204" pitchFamily="18" charset="0"/>
                          </a:rPr>
                          <m:t>𝑐</m:t>
                        </m:r>
                      </m:e>
                      <m:sub>
                        <m:r>
                          <a:rPr lang="es-CL" sz="1100" b="0" i="1">
                            <a:latin typeface="Cambria Math" panose="02040503050406030204" pitchFamily="18" charset="0"/>
                          </a:rPr>
                          <m:t>2</m:t>
                        </m:r>
                      </m:sub>
                    </m:sSub>
                    <m:r>
                      <a:rPr lang="es-CL" sz="1100" b="0" i="1">
                        <a:latin typeface="Cambria Math" panose="02040503050406030204" pitchFamily="18" charset="0"/>
                      </a:rPr>
                      <m:t>𝑁</m:t>
                    </m:r>
                    <m:sSub>
                      <m:sSubPr>
                        <m:ctrlPr>
                          <a:rPr lang="es-CL" sz="1100" b="0" i="1">
                            <a:latin typeface="Cambria Math" panose="02040503050406030204" pitchFamily="18" charset="0"/>
                          </a:rPr>
                        </m:ctrlPr>
                      </m:sSubPr>
                      <m:e>
                        <m:sSubSup>
                          <m:sSubSupPr>
                            <m:ctrlPr>
                              <a:rPr lang="es-CL" sz="1100" b="0" i="1">
                                <a:latin typeface="Cambria Math" panose="02040503050406030204" pitchFamily="18" charset="0"/>
                              </a:rPr>
                            </m:ctrlPr>
                          </m:sSubSupPr>
                          <m:e>
                            <m:r>
                              <a:rPr lang="es-CL" sz="1100" b="0" i="1">
                                <a:latin typeface="Cambria Math" panose="02040503050406030204" pitchFamily="18" charset="0"/>
                              </a:rPr>
                              <m:t>𝐻</m:t>
                            </m:r>
                          </m:e>
                          <m:sub>
                            <m:r>
                              <a:rPr lang="es-CL" sz="1100" b="0" i="1">
                                <a:latin typeface="Cambria Math" panose="02040503050406030204" pitchFamily="18" charset="0"/>
                              </a:rPr>
                              <m:t>4</m:t>
                            </m:r>
                          </m:sub>
                          <m:sup>
                            <m:r>
                              <a:rPr lang="es-CL" sz="1100" b="0" i="1">
                                <a:latin typeface="Cambria Math" panose="02040503050406030204" pitchFamily="18" charset="0"/>
                              </a:rPr>
                              <m:t>+</m:t>
                            </m:r>
                          </m:sup>
                        </m:sSubSup>
                      </m:e>
                      <m:sub>
                        <m:d>
                          <m:dPr>
                            <m:ctrlPr>
                              <a:rPr lang="es-CL" sz="1100" b="0" i="1">
                                <a:latin typeface="Cambria Math" panose="02040503050406030204" pitchFamily="18" charset="0"/>
                              </a:rPr>
                            </m:ctrlPr>
                          </m:dPr>
                          <m:e>
                            <m:r>
                              <a:rPr lang="es-CL" sz="1100" b="0" i="1">
                                <a:latin typeface="Cambria Math" panose="02040503050406030204" pitchFamily="18" charset="0"/>
                              </a:rPr>
                              <m:t>𝑎𝑐</m:t>
                            </m:r>
                          </m:e>
                        </m:d>
                      </m:sub>
                    </m:sSub>
                    <m:r>
                      <a:rPr lang="es-CL" sz="1100" b="0" i="1">
                        <a:latin typeface="Cambria Math" panose="02040503050406030204" pitchFamily="18" charset="0"/>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𝑐</m:t>
                        </m:r>
                      </m:e>
                      <m:sub>
                        <m:r>
                          <a:rPr lang="es-CL" sz="1100" b="0" i="1">
                            <a:solidFill>
                              <a:schemeClr val="tx1"/>
                            </a:solidFill>
                            <a:effectLst/>
                            <a:latin typeface="Cambria Math" panose="02040503050406030204" pitchFamily="18" charset="0"/>
                            <a:ea typeface="+mn-ea"/>
                            <a:cs typeface="+mn-cs"/>
                          </a:rPr>
                          <m:t>6</m:t>
                        </m:r>
                      </m:sub>
                    </m:sSub>
                    <m:r>
                      <a:rPr lang="es-CL" sz="1100" b="0" i="1">
                        <a:solidFill>
                          <a:schemeClr val="tx1"/>
                        </a:solidFill>
                        <a:effectLst/>
                        <a:latin typeface="Cambria Math" panose="02040503050406030204" pitchFamily="18" charset="0"/>
                        <a:ea typeface="+mn-ea"/>
                        <a:cs typeface="+mn-cs"/>
                      </a:rPr>
                      <m:t>𝐻𝐶</m:t>
                    </m:r>
                    <m:sSub>
                      <m:sSubPr>
                        <m:ctrlPr>
                          <a:rPr lang="es-CL" sz="1100" b="0" i="1">
                            <a:solidFill>
                              <a:schemeClr val="tx1"/>
                            </a:solidFill>
                            <a:effectLst/>
                            <a:latin typeface="Cambria Math" panose="02040503050406030204" pitchFamily="18" charset="0"/>
                            <a:ea typeface="+mn-ea"/>
                            <a:cs typeface="+mn-cs"/>
                          </a:rPr>
                        </m:ctrlPr>
                      </m:sSubPr>
                      <m:e>
                        <m:sSubSup>
                          <m:sSubSupPr>
                            <m:ctrlPr>
                              <a:rPr lang="es-CL" sz="1100" b="0" i="1">
                                <a:solidFill>
                                  <a:schemeClr val="tx1"/>
                                </a:solidFill>
                                <a:effectLst/>
                                <a:latin typeface="Cambria Math" panose="02040503050406030204" pitchFamily="18" charset="0"/>
                                <a:ea typeface="+mn-ea"/>
                                <a:cs typeface="+mn-cs"/>
                              </a:rPr>
                            </m:ctrlPr>
                          </m:sSubSupPr>
                          <m:e>
                            <m:r>
                              <a:rPr lang="es-CL" sz="1100" b="0" i="1">
                                <a:solidFill>
                                  <a:schemeClr val="tx1"/>
                                </a:solidFill>
                                <a:effectLst/>
                                <a:latin typeface="Cambria Math" panose="02040503050406030204" pitchFamily="18" charset="0"/>
                                <a:ea typeface="+mn-ea"/>
                                <a:cs typeface="+mn-cs"/>
                              </a:rPr>
                              <m:t>𝑂</m:t>
                            </m:r>
                          </m:e>
                          <m:sub>
                            <m:r>
                              <a:rPr lang="es-CL" sz="1100" b="0" i="1">
                                <a:solidFill>
                                  <a:schemeClr val="tx1"/>
                                </a:solidFill>
                                <a:effectLst/>
                                <a:latin typeface="Cambria Math" panose="02040503050406030204" pitchFamily="18" charset="0"/>
                                <a:ea typeface="+mn-ea"/>
                                <a:cs typeface="+mn-cs"/>
                              </a:rPr>
                              <m:t>3</m:t>
                            </m:r>
                          </m:sub>
                          <m:sup>
                            <m:r>
                              <a:rPr lang="es-CL" sz="1100" b="0" i="1">
                                <a:solidFill>
                                  <a:schemeClr val="tx1"/>
                                </a:solidFill>
                                <a:effectLst/>
                                <a:latin typeface="Cambria Math" panose="02040503050406030204" pitchFamily="18" charset="0"/>
                                <a:ea typeface="+mn-ea"/>
                                <a:cs typeface="+mn-cs"/>
                              </a:rPr>
                              <m:t>−</m:t>
                            </m:r>
                          </m:sup>
                        </m:sSubSup>
                      </m:e>
                      <m:sub>
                        <m:d>
                          <m:dPr>
                            <m:ctrlPr>
                              <a:rPr lang="es-CL" sz="1100" b="0" i="1">
                                <a:solidFill>
                                  <a:schemeClr val="tx1"/>
                                </a:solidFill>
                                <a:effectLst/>
                                <a:latin typeface="Cambria Math" panose="02040503050406030204" pitchFamily="18" charset="0"/>
                                <a:ea typeface="+mn-ea"/>
                                <a:cs typeface="+mn-cs"/>
                              </a:rPr>
                            </m:ctrlPr>
                          </m:dPr>
                          <m:e>
                            <m:r>
                              <a:rPr lang="es-CL" sz="1100" b="0" i="1">
                                <a:solidFill>
                                  <a:schemeClr val="tx1"/>
                                </a:solidFill>
                                <a:effectLst/>
                                <a:latin typeface="Cambria Math" panose="02040503050406030204" pitchFamily="18" charset="0"/>
                                <a:ea typeface="+mn-ea"/>
                                <a:cs typeface="+mn-cs"/>
                              </a:rPr>
                              <m:t>𝑎𝑐</m:t>
                            </m:r>
                          </m:e>
                        </m:d>
                      </m:sub>
                    </m:sSub>
                    <m:r>
                      <a:rPr lang="es-CL" sz="1100" b="0" i="1">
                        <a:latin typeface="Cambria Math" panose="02040503050406030204" pitchFamily="18" charset="0"/>
                      </a:rPr>
                      <m:t>→</m:t>
                    </m:r>
                  </m:oMath>
                </m:oMathPara>
              </a14:m>
              <a:endParaRPr lang="es-CL" sz="1100" b="0" i="1">
                <a:latin typeface="Cambria Math" panose="02040503050406030204" pitchFamily="18" charset="0"/>
              </a:endParaRPr>
            </a:p>
            <a:p>
              <a:pPr/>
              <a14:m>
                <m:oMathPara xmlns:m="http://schemas.openxmlformats.org/officeDocument/2006/math">
                  <m:oMathParaPr>
                    <m:jc m:val="centerGroup"/>
                  </m:oMathParaPr>
                  <m:oMath xmlns:m="http://schemas.openxmlformats.org/officeDocument/2006/math">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𝑐</m:t>
                        </m:r>
                      </m:e>
                      <m:sub>
                        <m:r>
                          <a:rPr lang="es-CL" sz="1100" b="0" i="1">
                            <a:solidFill>
                              <a:schemeClr val="tx1"/>
                            </a:solidFill>
                            <a:effectLst/>
                            <a:latin typeface="Cambria Math" panose="02040503050406030204" pitchFamily="18" charset="0"/>
                            <a:ea typeface="+mn-ea"/>
                            <a:cs typeface="+mn-cs"/>
                          </a:rPr>
                          <m:t>3</m:t>
                        </m:r>
                      </m:sub>
                    </m:sSub>
                    <m:r>
                      <a:rPr lang="es-CL" sz="1100" b="0" i="1">
                        <a:solidFill>
                          <a:schemeClr val="tx1"/>
                        </a:solidFill>
                        <a:effectLst/>
                        <a:latin typeface="Cambria Math" panose="02040503050406030204" pitchFamily="18" charset="0"/>
                        <a:ea typeface="+mn-ea"/>
                        <a:cs typeface="+mn-cs"/>
                      </a:rPr>
                      <m:t>𝐶</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𝐻</m:t>
                        </m:r>
                      </m:e>
                      <m:sub>
                        <m:r>
                          <a:rPr lang="es-CL" sz="1100" b="0" i="1">
                            <a:solidFill>
                              <a:schemeClr val="tx1"/>
                            </a:solidFill>
                            <a:effectLst/>
                            <a:latin typeface="Cambria Math" panose="02040503050406030204" pitchFamily="18" charset="0"/>
                            <a:ea typeface="+mn-ea"/>
                            <a:cs typeface="+mn-cs"/>
                          </a:rPr>
                          <m:t>3</m:t>
                        </m:r>
                      </m:sub>
                    </m:sSub>
                    <m:r>
                      <a:rPr lang="es-CL" sz="1100" b="0" i="1">
                        <a:solidFill>
                          <a:schemeClr val="tx1"/>
                        </a:solidFill>
                        <a:effectLst/>
                        <a:latin typeface="Cambria Math" panose="02040503050406030204" pitchFamily="18" charset="0"/>
                        <a:ea typeface="+mn-ea"/>
                        <a:cs typeface="+mn-cs"/>
                      </a:rPr>
                      <m:t>𝐶</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𝐻</m:t>
                        </m:r>
                      </m:e>
                      <m:sub>
                        <m:r>
                          <a:rPr lang="es-CL" sz="1100" b="0" i="1">
                            <a:solidFill>
                              <a:schemeClr val="tx1"/>
                            </a:solidFill>
                            <a:effectLst/>
                            <a:latin typeface="Cambria Math" panose="02040503050406030204" pitchFamily="18" charset="0"/>
                            <a:ea typeface="+mn-ea"/>
                            <a:cs typeface="+mn-cs"/>
                          </a:rPr>
                          <m:t>2</m:t>
                        </m:r>
                      </m:sub>
                    </m:sSub>
                    <m:r>
                      <a:rPr lang="es-CL" sz="1100" b="0" i="1">
                        <a:solidFill>
                          <a:schemeClr val="tx1"/>
                        </a:solidFill>
                        <a:effectLst/>
                        <a:latin typeface="Cambria Math" panose="02040503050406030204" pitchFamily="18" charset="0"/>
                        <a:ea typeface="+mn-ea"/>
                        <a:cs typeface="+mn-cs"/>
                      </a:rPr>
                      <m:t>𝑂</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𝐻</m:t>
                        </m:r>
                      </m:e>
                      <m:sub>
                        <m:d>
                          <m:dPr>
                            <m:ctrlPr>
                              <a:rPr lang="es-CL" sz="1100" b="0" i="1">
                                <a:solidFill>
                                  <a:schemeClr val="tx1"/>
                                </a:solidFill>
                                <a:effectLst/>
                                <a:latin typeface="Cambria Math" panose="02040503050406030204" pitchFamily="18" charset="0"/>
                                <a:ea typeface="+mn-ea"/>
                                <a:cs typeface="+mn-cs"/>
                              </a:rPr>
                            </m:ctrlPr>
                          </m:dPr>
                          <m:e>
                            <m:r>
                              <a:rPr lang="es-CL" sz="1100" b="0" i="1">
                                <a:solidFill>
                                  <a:schemeClr val="tx1"/>
                                </a:solidFill>
                                <a:effectLst/>
                                <a:latin typeface="Cambria Math" panose="02040503050406030204" pitchFamily="18" charset="0"/>
                                <a:ea typeface="+mn-ea"/>
                                <a:cs typeface="+mn-cs"/>
                              </a:rPr>
                              <m:t>𝑎𝑐</m:t>
                            </m:r>
                          </m:e>
                        </m:d>
                      </m:sub>
                    </m:sSub>
                    <m:r>
                      <a:rPr lang="es-CL" sz="1100" b="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𝑐</m:t>
                        </m:r>
                      </m:e>
                      <m:sub>
                        <m:r>
                          <a:rPr lang="es-CL" sz="1100" b="0" i="1">
                            <a:solidFill>
                              <a:schemeClr val="tx1"/>
                            </a:solidFill>
                            <a:effectLst/>
                            <a:latin typeface="Cambria Math" panose="02040503050406030204" pitchFamily="18" charset="0"/>
                            <a:ea typeface="+mn-ea"/>
                            <a:cs typeface="+mn-cs"/>
                          </a:rPr>
                          <m:t>4</m:t>
                        </m:r>
                      </m:sub>
                    </m:sSub>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𝐻</m:t>
                        </m:r>
                      </m:e>
                      <m:sub>
                        <m:r>
                          <a:rPr lang="es-CL" sz="1100" b="0" i="1">
                            <a:solidFill>
                              <a:schemeClr val="tx1"/>
                            </a:solidFill>
                            <a:effectLst/>
                            <a:latin typeface="Cambria Math" panose="02040503050406030204" pitchFamily="18" charset="0"/>
                            <a:ea typeface="+mn-ea"/>
                            <a:cs typeface="+mn-cs"/>
                          </a:rPr>
                          <m:t>2</m:t>
                        </m:r>
                      </m:sub>
                    </m:sSub>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𝑂</m:t>
                        </m:r>
                      </m:e>
                      <m:sub>
                        <m:d>
                          <m:dPr>
                            <m:ctrlPr>
                              <a:rPr lang="es-CL" sz="1100" b="0" i="1">
                                <a:solidFill>
                                  <a:schemeClr val="tx1"/>
                                </a:solidFill>
                                <a:effectLst/>
                                <a:latin typeface="Cambria Math" panose="02040503050406030204" pitchFamily="18" charset="0"/>
                                <a:ea typeface="+mn-ea"/>
                                <a:cs typeface="+mn-cs"/>
                              </a:rPr>
                            </m:ctrlPr>
                          </m:dPr>
                          <m:e>
                            <m:r>
                              <a:rPr lang="es-CL" sz="1100" b="0" i="1">
                                <a:solidFill>
                                  <a:schemeClr val="tx1"/>
                                </a:solidFill>
                                <a:effectLst/>
                                <a:latin typeface="Cambria Math" panose="02040503050406030204" pitchFamily="18" charset="0"/>
                                <a:ea typeface="+mn-ea"/>
                                <a:cs typeface="+mn-cs"/>
                              </a:rPr>
                              <m:t>𝑙</m:t>
                            </m:r>
                          </m:e>
                        </m:d>
                      </m:sub>
                    </m:sSub>
                    <m:r>
                      <a:rPr lang="es-CL" sz="1100" b="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𝑐</m:t>
                        </m:r>
                      </m:e>
                      <m:sub>
                        <m:r>
                          <a:rPr lang="es-CL" sz="1100" b="0" i="1">
                            <a:solidFill>
                              <a:schemeClr val="tx1"/>
                            </a:solidFill>
                            <a:effectLst/>
                            <a:latin typeface="Cambria Math" panose="02040503050406030204" pitchFamily="18" charset="0"/>
                            <a:ea typeface="+mn-ea"/>
                            <a:cs typeface="+mn-cs"/>
                          </a:rPr>
                          <m:t>5</m:t>
                        </m:r>
                      </m:sub>
                    </m:sSub>
                    <m:r>
                      <a:rPr lang="es-CL" sz="1100" b="0" i="1">
                        <a:solidFill>
                          <a:schemeClr val="tx1"/>
                        </a:solidFill>
                        <a:effectLst/>
                        <a:latin typeface="Cambria Math" panose="02040503050406030204" pitchFamily="18" charset="0"/>
                        <a:ea typeface="+mn-ea"/>
                        <a:cs typeface="+mn-cs"/>
                      </a:rPr>
                      <m:t>𝐶</m:t>
                    </m:r>
                    <m:sSub>
                      <m:sSubPr>
                        <m:ctrlPr>
                          <a:rPr lang="es-CL" sz="1100" b="0" i="1">
                            <a:solidFill>
                              <a:schemeClr val="tx1"/>
                            </a:solidFill>
                            <a:effectLst/>
                            <a:latin typeface="Cambria Math" panose="02040503050406030204" pitchFamily="18" charset="0"/>
                            <a:ea typeface="+mn-ea"/>
                            <a:cs typeface="+mn-cs"/>
                          </a:rPr>
                        </m:ctrlPr>
                      </m:sSubPr>
                      <m:e>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𝑂</m:t>
                            </m:r>
                          </m:e>
                          <m:sub>
                            <m:r>
                              <a:rPr lang="es-CL" sz="1100" b="0" i="1">
                                <a:solidFill>
                                  <a:schemeClr val="tx1"/>
                                </a:solidFill>
                                <a:effectLst/>
                                <a:latin typeface="Cambria Math" panose="02040503050406030204" pitchFamily="18" charset="0"/>
                                <a:ea typeface="+mn-ea"/>
                                <a:cs typeface="+mn-cs"/>
                              </a:rPr>
                              <m:t>2</m:t>
                            </m:r>
                          </m:sub>
                        </m:sSub>
                      </m:e>
                      <m:sub>
                        <m:d>
                          <m:dPr>
                            <m:ctrlPr>
                              <a:rPr lang="es-CL" sz="1100" b="0" i="1">
                                <a:solidFill>
                                  <a:schemeClr val="tx1"/>
                                </a:solidFill>
                                <a:effectLst/>
                                <a:latin typeface="Cambria Math" panose="02040503050406030204" pitchFamily="18" charset="0"/>
                                <a:ea typeface="+mn-ea"/>
                                <a:cs typeface="+mn-cs"/>
                              </a:rPr>
                            </m:ctrlPr>
                          </m:dPr>
                          <m:e>
                            <m:r>
                              <a:rPr lang="es-CL" sz="1100" b="0" i="1">
                                <a:solidFill>
                                  <a:schemeClr val="tx1"/>
                                </a:solidFill>
                                <a:effectLst/>
                                <a:latin typeface="Cambria Math" panose="02040503050406030204" pitchFamily="18" charset="0"/>
                                <a:ea typeface="+mn-ea"/>
                                <a:cs typeface="+mn-cs"/>
                              </a:rPr>
                              <m:t>𝑔</m:t>
                            </m:r>
                          </m:e>
                        </m:d>
                      </m:sub>
                    </m:sSub>
                    <m:r>
                      <a:rPr lang="es-CL" sz="1100" b="0" i="1">
                        <a:solidFill>
                          <a:schemeClr val="tx1"/>
                        </a:solidFill>
                        <a:effectLst/>
                        <a:latin typeface="Cambria Math" panose="02040503050406030204" pitchFamily="18" charset="0"/>
                        <a:ea typeface="+mn-ea"/>
                        <a:cs typeface="+mn-cs"/>
                      </a:rPr>
                      <m:t>+</m:t>
                    </m:r>
                    <m:r>
                      <a:rPr lang="es-CL" sz="1100" b="0" i="1">
                        <a:latin typeface="Cambria Math" panose="02040503050406030204" pitchFamily="18" charset="0"/>
                      </a:rPr>
                      <m:t>+</m:t>
                    </m:r>
                    <m:sSub>
                      <m:sSubPr>
                        <m:ctrlPr>
                          <a:rPr lang="es-CL" sz="1100" b="0" i="1">
                            <a:solidFill>
                              <a:schemeClr val="accent5">
                                <a:lumMod val="60000"/>
                                <a:lumOff val="40000"/>
                              </a:schemeClr>
                            </a:solidFill>
                            <a:effectLst/>
                            <a:latin typeface="Cambria Math" panose="02040503050406030204" pitchFamily="18" charset="0"/>
                            <a:ea typeface="+mn-ea"/>
                            <a:cs typeface="+mn-cs"/>
                          </a:rPr>
                        </m:ctrlPr>
                      </m:sSubPr>
                      <m:e>
                        <m:r>
                          <a:rPr lang="es-CL" sz="1100" b="0" i="1">
                            <a:solidFill>
                              <a:schemeClr val="accent5">
                                <a:lumMod val="60000"/>
                                <a:lumOff val="40000"/>
                              </a:schemeClr>
                            </a:solidFill>
                            <a:effectLst/>
                            <a:latin typeface="Cambria Math" panose="02040503050406030204" pitchFamily="18" charset="0"/>
                            <a:ea typeface="+mn-ea"/>
                            <a:cs typeface="+mn-cs"/>
                          </a:rPr>
                          <m:t>𝑐</m:t>
                        </m:r>
                      </m:e>
                      <m:sub>
                        <m:r>
                          <a:rPr lang="es-CL" sz="1100" b="0" i="1">
                            <a:solidFill>
                              <a:schemeClr val="accent5">
                                <a:lumMod val="60000"/>
                                <a:lumOff val="40000"/>
                              </a:schemeClr>
                            </a:solidFill>
                            <a:effectLst/>
                            <a:latin typeface="Cambria Math" panose="02040503050406030204" pitchFamily="18" charset="0"/>
                            <a:ea typeface="+mn-ea"/>
                            <a:cs typeface="+mn-cs"/>
                          </a:rPr>
                          <m:t>7</m:t>
                        </m:r>
                      </m:sub>
                    </m:sSub>
                    <m:sSubSup>
                      <m:sSubSupPr>
                        <m:ctrlPr>
                          <a:rPr lang="es-CL" sz="1100" b="0" i="1">
                            <a:solidFill>
                              <a:schemeClr val="accent5">
                                <a:lumMod val="60000"/>
                                <a:lumOff val="40000"/>
                              </a:schemeClr>
                            </a:solidFill>
                            <a:effectLst/>
                            <a:latin typeface="Cambria Math" panose="02040503050406030204" pitchFamily="18" charset="0"/>
                            <a:ea typeface="+mn-ea"/>
                            <a:cs typeface="+mn-cs"/>
                          </a:rPr>
                        </m:ctrlPr>
                      </m:sSubSupPr>
                      <m:e>
                        <m:r>
                          <a:rPr lang="es-CL" sz="1100" b="0" i="1">
                            <a:solidFill>
                              <a:schemeClr val="accent5">
                                <a:lumMod val="60000"/>
                                <a:lumOff val="40000"/>
                              </a:schemeClr>
                            </a:solidFill>
                            <a:effectLst/>
                            <a:latin typeface="Cambria Math" panose="02040503050406030204" pitchFamily="18" charset="0"/>
                            <a:ea typeface="+mn-ea"/>
                            <a:cs typeface="+mn-cs"/>
                          </a:rPr>
                          <m:t>𝐻</m:t>
                        </m:r>
                      </m:e>
                      <m:sub>
                        <m:d>
                          <m:dPr>
                            <m:ctrlPr>
                              <a:rPr lang="es-CL" sz="1100" b="0" i="1">
                                <a:solidFill>
                                  <a:schemeClr val="accent5">
                                    <a:lumMod val="60000"/>
                                    <a:lumOff val="40000"/>
                                  </a:schemeClr>
                                </a:solidFill>
                                <a:effectLst/>
                                <a:latin typeface="Cambria Math" panose="02040503050406030204" pitchFamily="18" charset="0"/>
                                <a:ea typeface="+mn-ea"/>
                                <a:cs typeface="+mn-cs"/>
                              </a:rPr>
                            </m:ctrlPr>
                          </m:dPr>
                          <m:e>
                            <m:r>
                              <a:rPr lang="es-CL" sz="1100" b="0" i="1">
                                <a:solidFill>
                                  <a:schemeClr val="accent5">
                                    <a:lumMod val="60000"/>
                                    <a:lumOff val="40000"/>
                                  </a:schemeClr>
                                </a:solidFill>
                                <a:effectLst/>
                                <a:latin typeface="Cambria Math" panose="02040503050406030204" pitchFamily="18" charset="0"/>
                                <a:ea typeface="+mn-ea"/>
                                <a:cs typeface="+mn-cs"/>
                              </a:rPr>
                              <m:t>𝑎𝑐</m:t>
                            </m:r>
                          </m:e>
                        </m:d>
                      </m:sub>
                      <m:sup>
                        <m:r>
                          <a:rPr lang="es-CL" sz="1100" b="0" i="1">
                            <a:solidFill>
                              <a:schemeClr val="accent5">
                                <a:lumMod val="60000"/>
                                <a:lumOff val="40000"/>
                              </a:schemeClr>
                            </a:solidFill>
                            <a:effectLst/>
                            <a:latin typeface="Cambria Math" panose="02040503050406030204" pitchFamily="18" charset="0"/>
                            <a:ea typeface="+mn-ea"/>
                            <a:cs typeface="+mn-cs"/>
                          </a:rPr>
                          <m:t>+</m:t>
                        </m:r>
                      </m:sup>
                    </m:sSubSup>
                    <m:r>
                      <a:rPr lang="es-CL" sz="1100" b="0" i="1">
                        <a:solidFill>
                          <a:schemeClr val="tx1"/>
                        </a:solidFill>
                        <a:effectLst/>
                        <a:latin typeface="Cambria Math" panose="02040503050406030204" pitchFamily="18" charset="0"/>
                        <a:ea typeface="+mn-ea"/>
                        <a:cs typeface="+mn-cs"/>
                      </a:rPr>
                      <m:t>+</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𝑐</m:t>
                        </m:r>
                      </m:e>
                      <m:sub>
                        <m:r>
                          <a:rPr lang="es-CL" sz="1100" b="0" i="1">
                            <a:solidFill>
                              <a:schemeClr val="tx1"/>
                            </a:solidFill>
                            <a:effectLst/>
                            <a:latin typeface="Cambria Math" panose="02040503050406030204" pitchFamily="18" charset="0"/>
                            <a:ea typeface="+mn-ea"/>
                            <a:cs typeface="+mn-cs"/>
                          </a:rPr>
                          <m:t>8</m:t>
                        </m:r>
                      </m:sub>
                    </m:sSub>
                    <m:r>
                      <a:rPr lang="es-CL" sz="1100" b="0" i="1">
                        <a:solidFill>
                          <a:schemeClr val="tx1"/>
                        </a:solidFill>
                        <a:effectLst/>
                        <a:latin typeface="Cambria Math" panose="02040503050406030204" pitchFamily="18" charset="0"/>
                        <a:ea typeface="+mn-ea"/>
                        <a:cs typeface="+mn-cs"/>
                      </a:rPr>
                      <m:t>𝐶</m:t>
                    </m:r>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𝐻</m:t>
                        </m:r>
                      </m:e>
                      <m:sub>
                        <m:r>
                          <a:rPr lang="es-CL" sz="1100" b="0" i="1">
                            <a:solidFill>
                              <a:schemeClr val="tx1"/>
                            </a:solidFill>
                            <a:effectLst/>
                            <a:latin typeface="Cambria Math" panose="02040503050406030204" pitchFamily="18" charset="0"/>
                            <a:ea typeface="+mn-ea"/>
                            <a:cs typeface="+mn-cs"/>
                          </a:rPr>
                          <m:t>1,83</m:t>
                        </m:r>
                      </m:sub>
                    </m:sSub>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𝑂</m:t>
                        </m:r>
                      </m:e>
                      <m:sub>
                        <m:r>
                          <a:rPr lang="es-CL" sz="1100" b="0" i="1">
                            <a:solidFill>
                              <a:schemeClr val="tx1"/>
                            </a:solidFill>
                            <a:effectLst/>
                            <a:latin typeface="Cambria Math" panose="02040503050406030204" pitchFamily="18" charset="0"/>
                            <a:ea typeface="+mn-ea"/>
                            <a:cs typeface="+mn-cs"/>
                          </a:rPr>
                          <m:t>0,56</m:t>
                        </m:r>
                      </m:sub>
                    </m:sSub>
                    <m:sSub>
                      <m:sSubPr>
                        <m:ctrlPr>
                          <a:rPr lang="es-CL" sz="1100" b="0" i="1">
                            <a:solidFill>
                              <a:schemeClr val="tx1"/>
                            </a:solidFill>
                            <a:effectLst/>
                            <a:latin typeface="Cambria Math" panose="02040503050406030204" pitchFamily="18" charset="0"/>
                            <a:ea typeface="+mn-ea"/>
                            <a:cs typeface="+mn-cs"/>
                          </a:rPr>
                        </m:ctrlPr>
                      </m:sSubPr>
                      <m:e>
                        <m:sSub>
                          <m:sSubPr>
                            <m:ctrlPr>
                              <a:rPr lang="es-CL" sz="1100" b="0" i="1">
                                <a:solidFill>
                                  <a:schemeClr val="tx1"/>
                                </a:solidFill>
                                <a:effectLst/>
                                <a:latin typeface="Cambria Math" panose="02040503050406030204" pitchFamily="18" charset="0"/>
                                <a:ea typeface="+mn-ea"/>
                                <a:cs typeface="+mn-cs"/>
                              </a:rPr>
                            </m:ctrlPr>
                          </m:sSubPr>
                          <m:e>
                            <m:r>
                              <a:rPr lang="es-CL" sz="1100" b="0" i="1">
                                <a:solidFill>
                                  <a:schemeClr val="tx1"/>
                                </a:solidFill>
                                <a:effectLst/>
                                <a:latin typeface="Cambria Math" panose="02040503050406030204" pitchFamily="18" charset="0"/>
                                <a:ea typeface="+mn-ea"/>
                                <a:cs typeface="+mn-cs"/>
                              </a:rPr>
                              <m:t>𝑁</m:t>
                            </m:r>
                          </m:e>
                          <m:sub>
                            <m:r>
                              <a:rPr lang="es-CL" sz="1100" b="0" i="1">
                                <a:solidFill>
                                  <a:schemeClr val="tx1"/>
                                </a:solidFill>
                                <a:effectLst/>
                                <a:latin typeface="Cambria Math" panose="02040503050406030204" pitchFamily="18" charset="0"/>
                                <a:ea typeface="+mn-ea"/>
                                <a:cs typeface="+mn-cs"/>
                              </a:rPr>
                              <m:t>0,17</m:t>
                            </m:r>
                          </m:sub>
                        </m:sSub>
                      </m:e>
                      <m:sub>
                        <m:d>
                          <m:dPr>
                            <m:ctrlPr>
                              <a:rPr lang="es-CL" sz="1100" b="0" i="1">
                                <a:solidFill>
                                  <a:schemeClr val="tx1"/>
                                </a:solidFill>
                                <a:effectLst/>
                                <a:latin typeface="Cambria Math" panose="02040503050406030204" pitchFamily="18" charset="0"/>
                                <a:ea typeface="+mn-ea"/>
                                <a:cs typeface="+mn-cs"/>
                              </a:rPr>
                            </m:ctrlPr>
                          </m:dPr>
                          <m:e>
                            <m:r>
                              <a:rPr lang="es-CL" sz="1100" b="0" i="1">
                                <a:solidFill>
                                  <a:schemeClr val="tx1"/>
                                </a:solidFill>
                                <a:effectLst/>
                                <a:latin typeface="Cambria Math" panose="02040503050406030204" pitchFamily="18" charset="0"/>
                                <a:ea typeface="+mn-ea"/>
                                <a:cs typeface="+mn-cs"/>
                              </a:rPr>
                              <m:t>𝑠</m:t>
                            </m:r>
                          </m:e>
                        </m:d>
                      </m:sub>
                    </m:sSub>
                    <m:r>
                      <a:rPr lang="es-CL" sz="1100" b="0" i="1">
                        <a:latin typeface="Cambria Math" panose="02040503050406030204" pitchFamily="18" charset="0"/>
                      </a:rPr>
                      <m:t> </m:t>
                    </m:r>
                  </m:oMath>
                </m:oMathPara>
              </a14:m>
              <a:endParaRPr lang="en-US" sz="1100"/>
            </a:p>
          </xdr:txBody>
        </xdr:sp>
      </mc:Choice>
      <mc:Fallback xmlns="">
        <xdr:sp macro="" textlink="">
          <xdr:nvSpPr>
            <xdr:cNvPr id="25" name="TextBox 4">
              <a:extLst>
                <a:ext uri="{FF2B5EF4-FFF2-40B4-BE49-F238E27FC236}">
                  <a16:creationId xmlns:a16="http://schemas.microsoft.com/office/drawing/2014/main" id="{3456DBCA-C716-43D3-9005-26DCC907181C}"/>
                </a:ext>
              </a:extLst>
            </xdr:cNvPr>
            <xdr:cNvSpPr txBox="1"/>
          </xdr:nvSpPr>
          <xdr:spPr>
            <a:xfrm>
              <a:off x="4895849" y="10629900"/>
              <a:ext cx="5705475" cy="4309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L" sz="1100" b="0" i="0">
                  <a:latin typeface="Cambria Math" panose="02040503050406030204" pitchFamily="18" charset="0"/>
                </a:rPr>
                <a:t>𝑐_1 𝐶_6 𝐻_12 〖𝑂_6〗_((𝑎𝑐) )+𝑐_2 𝑁〖𝐻_4^+〗_((𝑎𝑐) )+</a:t>
              </a:r>
              <a:r>
                <a:rPr lang="es-CL" sz="1100" b="0" i="0">
                  <a:solidFill>
                    <a:schemeClr val="tx1"/>
                  </a:solidFill>
                  <a:effectLst/>
                  <a:latin typeface="Cambria Math" panose="02040503050406030204" pitchFamily="18" charset="0"/>
                  <a:ea typeface="+mn-ea"/>
                  <a:cs typeface="+mn-cs"/>
                </a:rPr>
                <a:t>𝑐_6 𝐻𝐶〖𝑂_3^−〗_((𝑎𝑐) )</a:t>
              </a:r>
              <a:r>
                <a:rPr lang="es-CL" sz="1100" b="0" i="0">
                  <a:latin typeface="Cambria Math" panose="02040503050406030204" pitchFamily="18" charset="0"/>
                </a:rPr>
                <a:t>→</a:t>
              </a:r>
              <a:endParaRPr lang="es-CL" sz="1100" b="0" i="1">
                <a:latin typeface="Cambria Math" panose="02040503050406030204" pitchFamily="18" charset="0"/>
              </a:endParaRPr>
            </a:p>
            <a:p>
              <a:pPr/>
              <a:r>
                <a:rPr lang="es-CL" sz="1100" b="0" i="0">
                  <a:solidFill>
                    <a:schemeClr val="tx1"/>
                  </a:solidFill>
                  <a:effectLst/>
                  <a:latin typeface="Cambria Math" panose="02040503050406030204" pitchFamily="18" charset="0"/>
                  <a:ea typeface="+mn-ea"/>
                  <a:cs typeface="+mn-cs"/>
                </a:rPr>
                <a:t>𝑐_3 𝐶𝐻_3 𝐶𝐻_2 𝑂𝐻_((𝑎𝑐) )+𝑐_4 𝐻_2 𝑂_((𝑙) )+𝑐_5 𝐶〖𝑂_2〗_((𝑔) )+</a:t>
              </a:r>
              <a:r>
                <a:rPr lang="es-CL" sz="1100" b="0" i="0">
                  <a:latin typeface="Cambria Math" panose="02040503050406030204" pitchFamily="18" charset="0"/>
                </a:rPr>
                <a:t>+</a:t>
              </a:r>
              <a:r>
                <a:rPr lang="es-CL" sz="1100" b="0" i="0">
                  <a:solidFill>
                    <a:schemeClr val="accent5">
                      <a:lumMod val="60000"/>
                      <a:lumOff val="40000"/>
                    </a:schemeClr>
                  </a:solidFill>
                  <a:effectLst/>
                  <a:latin typeface="Cambria Math" panose="02040503050406030204" pitchFamily="18" charset="0"/>
                  <a:ea typeface="+mn-ea"/>
                  <a:cs typeface="+mn-cs"/>
                </a:rPr>
                <a:t>𝑐_7 𝐻_((𝑎𝑐))^+</a:t>
              </a:r>
              <a:r>
                <a:rPr lang="es-CL" sz="1100" b="0" i="0">
                  <a:solidFill>
                    <a:schemeClr val="tx1"/>
                  </a:solidFill>
                  <a:effectLst/>
                  <a:latin typeface="Cambria Math" panose="02040503050406030204" pitchFamily="18" charset="0"/>
                  <a:ea typeface="+mn-ea"/>
                  <a:cs typeface="+mn-cs"/>
                </a:rPr>
                <a:t>+𝑐_8 𝐶𝐻_1,83 𝑂_0,56 〖𝑁_0,17〗_((𝑠) ) </a:t>
              </a:r>
              <a:r>
                <a:rPr lang="es-CL" sz="1100" b="0" i="0">
                  <a:latin typeface="Cambria Math" panose="02040503050406030204" pitchFamily="18" charset="0"/>
                </a:rPr>
                <a:t> </a:t>
              </a:r>
              <a:endParaRPr lang="en-US"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2</xdr:col>
      <xdr:colOff>819150</xdr:colOff>
      <xdr:row>28</xdr:row>
      <xdr:rowOff>0</xdr:rowOff>
    </xdr:from>
    <xdr:ext cx="65" cy="172227"/>
    <xdr:sp macro="" textlink="">
      <xdr:nvSpPr>
        <xdr:cNvPr id="2" name="CuadroTexto 1">
          <a:extLst>
            <a:ext uri="{FF2B5EF4-FFF2-40B4-BE49-F238E27FC236}">
              <a16:creationId xmlns:a16="http://schemas.microsoft.com/office/drawing/2014/main" id="{8248DEDB-F033-4CD5-A0E1-303067C800EF}"/>
            </a:ext>
          </a:extLst>
        </xdr:cNvPr>
        <xdr:cNvSpPr txBox="1"/>
      </xdr:nvSpPr>
      <xdr:spPr>
        <a:xfrm>
          <a:off x="3562350" y="533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2</xdr:col>
      <xdr:colOff>819150</xdr:colOff>
      <xdr:row>28</xdr:row>
      <xdr:rowOff>0</xdr:rowOff>
    </xdr:from>
    <xdr:ext cx="65" cy="172227"/>
    <xdr:sp macro="" textlink="">
      <xdr:nvSpPr>
        <xdr:cNvPr id="3" name="CuadroTexto 2">
          <a:extLst>
            <a:ext uri="{FF2B5EF4-FFF2-40B4-BE49-F238E27FC236}">
              <a16:creationId xmlns:a16="http://schemas.microsoft.com/office/drawing/2014/main" id="{038DAF02-A9B2-4B75-BD4E-FFF31599DE3B}"/>
            </a:ext>
          </a:extLst>
        </xdr:cNvPr>
        <xdr:cNvSpPr txBox="1"/>
      </xdr:nvSpPr>
      <xdr:spPr>
        <a:xfrm>
          <a:off x="3562350" y="533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twoCellAnchor>
    <xdr:from>
      <xdr:col>2</xdr:col>
      <xdr:colOff>523875</xdr:colOff>
      <xdr:row>2</xdr:row>
      <xdr:rowOff>114300</xdr:rowOff>
    </xdr:from>
    <xdr:to>
      <xdr:col>5</xdr:col>
      <xdr:colOff>495300</xdr:colOff>
      <xdr:row>8</xdr:row>
      <xdr:rowOff>133350</xdr:rowOff>
    </xdr:to>
    <xdr:sp macro="" textlink="">
      <xdr:nvSpPr>
        <xdr:cNvPr id="4" name="Rectángulo 3">
          <a:extLst>
            <a:ext uri="{FF2B5EF4-FFF2-40B4-BE49-F238E27FC236}">
              <a16:creationId xmlns:a16="http://schemas.microsoft.com/office/drawing/2014/main" id="{86FB7A4E-47B9-4DD8-BA9B-1F3E73160041}"/>
            </a:ext>
          </a:extLst>
        </xdr:cNvPr>
        <xdr:cNvSpPr/>
      </xdr:nvSpPr>
      <xdr:spPr>
        <a:xfrm>
          <a:off x="3324225" y="495300"/>
          <a:ext cx="2257425" cy="11620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CL" sz="1100"/>
        </a:p>
      </xdr:txBody>
    </xdr:sp>
    <xdr:clientData/>
  </xdr:twoCellAnchor>
  <xdr:twoCellAnchor>
    <xdr:from>
      <xdr:col>1</xdr:col>
      <xdr:colOff>600075</xdr:colOff>
      <xdr:row>4</xdr:row>
      <xdr:rowOff>0</xdr:rowOff>
    </xdr:from>
    <xdr:to>
      <xdr:col>2</xdr:col>
      <xdr:colOff>276225</xdr:colOff>
      <xdr:row>4</xdr:row>
      <xdr:rowOff>0</xdr:rowOff>
    </xdr:to>
    <xdr:cxnSp macro="">
      <xdr:nvCxnSpPr>
        <xdr:cNvPr id="5" name="Conector recto de flecha 4">
          <a:extLst>
            <a:ext uri="{FF2B5EF4-FFF2-40B4-BE49-F238E27FC236}">
              <a16:creationId xmlns:a16="http://schemas.microsoft.com/office/drawing/2014/main" id="{F6FA72CD-4E63-4AE4-B192-6F9D3AFFACC8}"/>
            </a:ext>
          </a:extLst>
        </xdr:cNvPr>
        <xdr:cNvCxnSpPr/>
      </xdr:nvCxnSpPr>
      <xdr:spPr>
        <a:xfrm>
          <a:off x="1362075" y="762000"/>
          <a:ext cx="17145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638175</xdr:colOff>
      <xdr:row>7</xdr:row>
      <xdr:rowOff>66675</xdr:rowOff>
    </xdr:from>
    <xdr:to>
      <xdr:col>2</xdr:col>
      <xdr:colOff>266700</xdr:colOff>
      <xdr:row>7</xdr:row>
      <xdr:rowOff>76200</xdr:rowOff>
    </xdr:to>
    <xdr:cxnSp macro="">
      <xdr:nvCxnSpPr>
        <xdr:cNvPr id="6" name="Conector recto de flecha 5">
          <a:extLst>
            <a:ext uri="{FF2B5EF4-FFF2-40B4-BE49-F238E27FC236}">
              <a16:creationId xmlns:a16="http://schemas.microsoft.com/office/drawing/2014/main" id="{35C781A6-E31C-41C7-97D1-A346DD2AEF51}"/>
            </a:ext>
          </a:extLst>
        </xdr:cNvPr>
        <xdr:cNvCxnSpPr/>
      </xdr:nvCxnSpPr>
      <xdr:spPr>
        <a:xfrm flipV="1">
          <a:off x="1400175" y="1400175"/>
          <a:ext cx="1666875"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533400</xdr:colOff>
      <xdr:row>5</xdr:row>
      <xdr:rowOff>114300</xdr:rowOff>
    </xdr:from>
    <xdr:to>
      <xdr:col>5</xdr:col>
      <xdr:colOff>1990725</xdr:colOff>
      <xdr:row>5</xdr:row>
      <xdr:rowOff>123825</xdr:rowOff>
    </xdr:to>
    <xdr:cxnSp macro="">
      <xdr:nvCxnSpPr>
        <xdr:cNvPr id="7" name="Conector recto de flecha 6">
          <a:extLst>
            <a:ext uri="{FF2B5EF4-FFF2-40B4-BE49-F238E27FC236}">
              <a16:creationId xmlns:a16="http://schemas.microsoft.com/office/drawing/2014/main" id="{10EB200C-FDA6-4655-9C2F-1FF477AE7A54}"/>
            </a:ext>
          </a:extLst>
        </xdr:cNvPr>
        <xdr:cNvCxnSpPr/>
      </xdr:nvCxnSpPr>
      <xdr:spPr>
        <a:xfrm flipV="1">
          <a:off x="5619750" y="1066800"/>
          <a:ext cx="1457325"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142876</xdr:colOff>
      <xdr:row>4</xdr:row>
      <xdr:rowOff>19050</xdr:rowOff>
    </xdr:from>
    <xdr:to>
      <xdr:col>5</xdr:col>
      <xdr:colOff>66676</xdr:colOff>
      <xdr:row>6</xdr:row>
      <xdr:rowOff>171450</xdr:rowOff>
    </xdr:to>
    <xdr:sp macro="" textlink="">
      <xdr:nvSpPr>
        <xdr:cNvPr id="8" name="CuadroTexto 7">
          <a:extLst>
            <a:ext uri="{FF2B5EF4-FFF2-40B4-BE49-F238E27FC236}">
              <a16:creationId xmlns:a16="http://schemas.microsoft.com/office/drawing/2014/main" id="{8AE65AEB-261B-452D-A169-E9C5D6C085EC}"/>
            </a:ext>
          </a:extLst>
        </xdr:cNvPr>
        <xdr:cNvSpPr txBox="1"/>
      </xdr:nvSpPr>
      <xdr:spPr>
        <a:xfrm>
          <a:off x="3705226" y="781050"/>
          <a:ext cx="1447800" cy="533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2400"/>
            <a:t>Cloración</a:t>
          </a:r>
        </a:p>
      </xdr:txBody>
    </xdr:sp>
    <xdr:clientData/>
  </xdr:twoCellAnchor>
  <xdr:oneCellAnchor>
    <xdr:from>
      <xdr:col>5</xdr:col>
      <xdr:colOff>2105025</xdr:colOff>
      <xdr:row>27</xdr:row>
      <xdr:rowOff>4762</xdr:rowOff>
    </xdr:from>
    <xdr:ext cx="65" cy="172227"/>
    <xdr:sp macro="" textlink="">
      <xdr:nvSpPr>
        <xdr:cNvPr id="9" name="CuadroTexto 8">
          <a:extLst>
            <a:ext uri="{FF2B5EF4-FFF2-40B4-BE49-F238E27FC236}">
              <a16:creationId xmlns:a16="http://schemas.microsoft.com/office/drawing/2014/main" id="{FA160021-212A-49E3-9FBB-54BBA8408671}"/>
            </a:ext>
          </a:extLst>
        </xdr:cNvPr>
        <xdr:cNvSpPr txBox="1"/>
      </xdr:nvSpPr>
      <xdr:spPr>
        <a:xfrm>
          <a:off x="7191375" y="514826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1</xdr:col>
      <xdr:colOff>933450</xdr:colOff>
      <xdr:row>1</xdr:row>
      <xdr:rowOff>171450</xdr:rowOff>
    </xdr:from>
    <xdr:ext cx="714374" cy="274947"/>
    <mc:AlternateContent xmlns:mc="http://schemas.openxmlformats.org/markup-compatibility/2006" xmlns:a14="http://schemas.microsoft.com/office/drawing/2010/main">
      <mc:Choice Requires="a14">
        <xdr:sp macro="" textlink="">
          <xdr:nvSpPr>
            <xdr:cNvPr id="10" name="CuadroTexto 29">
              <a:extLst>
                <a:ext uri="{FF2B5EF4-FFF2-40B4-BE49-F238E27FC236}">
                  <a16:creationId xmlns:a16="http://schemas.microsoft.com/office/drawing/2014/main" id="{E93AEA31-7DAF-4D4A-9DB4-D904161C6A03}"/>
                </a:ext>
              </a:extLst>
            </xdr:cNvPr>
            <xdr:cNvSpPr txBox="1"/>
          </xdr:nvSpPr>
          <xdr:spPr>
            <a:xfrm>
              <a:off x="1695450" y="36195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CL" sz="1100" b="0" i="1">
                            <a:latin typeface="Cambria Math" panose="02040503050406030204" pitchFamily="18" charset="0"/>
                          </a:rPr>
                          <m:t>h</m:t>
                        </m:r>
                        <m:r>
                          <a:rPr lang="es-CL" sz="1100" b="0" i="1">
                            <a:latin typeface="Cambria Math" panose="02040503050406030204" pitchFamily="18" charset="0"/>
                          </a:rPr>
                          <m:t>,</m:t>
                        </m:r>
                        <m:r>
                          <a:rPr lang="es-ES" sz="1100" b="0" i="1">
                            <a:latin typeface="Cambria Math"/>
                          </a:rPr>
                          <m:t>𝑖𝑛</m:t>
                        </m:r>
                      </m:sub>
                    </m:sSub>
                  </m:oMath>
                </m:oMathPara>
              </a14:m>
              <a:endParaRPr lang="es-ES" sz="1100"/>
            </a:p>
          </xdr:txBody>
        </xdr:sp>
      </mc:Choice>
      <mc:Fallback xmlns="">
        <xdr:sp macro="" textlink="">
          <xdr:nvSpPr>
            <xdr:cNvPr id="10" name="CuadroTexto 29">
              <a:extLst>
                <a:ext uri="{FF2B5EF4-FFF2-40B4-BE49-F238E27FC236}">
                  <a16:creationId xmlns:a16="http://schemas.microsoft.com/office/drawing/2014/main" id="{E93AEA31-7DAF-4D4A-9DB4-D904161C6A03}"/>
                </a:ext>
              </a:extLst>
            </xdr:cNvPr>
            <xdr:cNvSpPr txBox="1"/>
          </xdr:nvSpPr>
          <xdr:spPr>
            <a:xfrm>
              <a:off x="1695450" y="36195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CL" sz="1100" b="0" i="0">
                  <a:latin typeface="Cambria Math" panose="02040503050406030204" pitchFamily="18" charset="0"/>
                </a:rPr>
                <a:t>ℎ,</a:t>
              </a:r>
              <a:r>
                <a:rPr lang="es-ES" sz="1100" b="0" i="0">
                  <a:latin typeface="Cambria Math"/>
                </a:rPr>
                <a:t>𝑖𝑛</a:t>
              </a:r>
              <a:r>
                <a:rPr lang="es-ES" sz="1100" b="0" i="0">
                  <a:latin typeface="Cambria Math" panose="02040503050406030204" pitchFamily="18" charset="0"/>
                </a:rPr>
                <a:t>)</a:t>
              </a:r>
              <a:endParaRPr lang="es-ES" sz="1100"/>
            </a:p>
          </xdr:txBody>
        </xdr:sp>
      </mc:Fallback>
    </mc:AlternateContent>
    <xdr:clientData/>
  </xdr:oneCellAnchor>
  <xdr:oneCellAnchor>
    <xdr:from>
      <xdr:col>5</xdr:col>
      <xdr:colOff>885825</xdr:colOff>
      <xdr:row>3</xdr:row>
      <xdr:rowOff>95250</xdr:rowOff>
    </xdr:from>
    <xdr:ext cx="714374" cy="274947"/>
    <mc:AlternateContent xmlns:mc="http://schemas.openxmlformats.org/markup-compatibility/2006" xmlns:a14="http://schemas.microsoft.com/office/drawing/2010/main">
      <mc:Choice Requires="a14">
        <xdr:sp macro="" textlink="">
          <xdr:nvSpPr>
            <xdr:cNvPr id="11" name="CuadroTexto 29">
              <a:extLst>
                <a:ext uri="{FF2B5EF4-FFF2-40B4-BE49-F238E27FC236}">
                  <a16:creationId xmlns:a16="http://schemas.microsoft.com/office/drawing/2014/main" id="{8D441AF8-AF09-4DE9-BC9C-C379B5D555AA}"/>
                </a:ext>
              </a:extLst>
            </xdr:cNvPr>
            <xdr:cNvSpPr txBox="1"/>
          </xdr:nvSpPr>
          <xdr:spPr>
            <a:xfrm>
              <a:off x="5972175" y="66675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CL" sz="1100" b="0" i="1">
                            <a:latin typeface="Cambria Math" panose="02040503050406030204" pitchFamily="18" charset="0"/>
                          </a:rPr>
                          <m:t>h</m:t>
                        </m:r>
                        <m:r>
                          <a:rPr lang="es-CL" sz="1100" b="0" i="1">
                            <a:latin typeface="Cambria Math" panose="02040503050406030204" pitchFamily="18" charset="0"/>
                          </a:rPr>
                          <m:t>,</m:t>
                        </m:r>
                        <m:r>
                          <a:rPr lang="es-CL" sz="1100" b="0" i="1">
                            <a:latin typeface="Cambria Math" panose="02040503050406030204" pitchFamily="18" charset="0"/>
                          </a:rPr>
                          <m:t>𝑜𝑢𝑡</m:t>
                        </m:r>
                      </m:sub>
                    </m:sSub>
                  </m:oMath>
                </m:oMathPara>
              </a14:m>
              <a:endParaRPr lang="es-ES" sz="1100"/>
            </a:p>
          </xdr:txBody>
        </xdr:sp>
      </mc:Choice>
      <mc:Fallback xmlns="">
        <xdr:sp macro="" textlink="">
          <xdr:nvSpPr>
            <xdr:cNvPr id="11" name="CuadroTexto 29">
              <a:extLst>
                <a:ext uri="{FF2B5EF4-FFF2-40B4-BE49-F238E27FC236}">
                  <a16:creationId xmlns:a16="http://schemas.microsoft.com/office/drawing/2014/main" id="{8D441AF8-AF09-4DE9-BC9C-C379B5D555AA}"/>
                </a:ext>
              </a:extLst>
            </xdr:cNvPr>
            <xdr:cNvSpPr txBox="1"/>
          </xdr:nvSpPr>
          <xdr:spPr>
            <a:xfrm>
              <a:off x="5972175" y="66675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CL" sz="1100" b="0" i="0">
                  <a:latin typeface="Cambria Math" panose="02040503050406030204" pitchFamily="18" charset="0"/>
                </a:rPr>
                <a:t>ℎ,𝑜𝑢𝑡</a:t>
              </a:r>
              <a:r>
                <a:rPr lang="es-ES" sz="1100" b="0" i="0">
                  <a:latin typeface="Cambria Math" panose="02040503050406030204" pitchFamily="18" charset="0"/>
                </a:rPr>
                <a:t>)</a:t>
              </a:r>
              <a:endParaRPr lang="es-ES" sz="1100"/>
            </a:p>
          </xdr:txBody>
        </xdr:sp>
      </mc:Fallback>
    </mc:AlternateContent>
    <xdr:clientData/>
  </xdr:oneCellAnchor>
  <xdr:oneCellAnchor>
    <xdr:from>
      <xdr:col>1</xdr:col>
      <xdr:colOff>876300</xdr:colOff>
      <xdr:row>7</xdr:row>
      <xdr:rowOff>152400</xdr:rowOff>
    </xdr:from>
    <xdr:ext cx="962025" cy="274947"/>
    <mc:AlternateContent xmlns:mc="http://schemas.openxmlformats.org/markup-compatibility/2006" xmlns:a14="http://schemas.microsoft.com/office/drawing/2010/main">
      <mc:Choice Requires="a14">
        <xdr:sp macro="" textlink="">
          <xdr:nvSpPr>
            <xdr:cNvPr id="12" name="CuadroTexto 29">
              <a:extLst>
                <a:ext uri="{FF2B5EF4-FFF2-40B4-BE49-F238E27FC236}">
                  <a16:creationId xmlns:a16="http://schemas.microsoft.com/office/drawing/2014/main" id="{4915BAA8-8739-4EF4-A443-746BB7BC9EAF}"/>
                </a:ext>
              </a:extLst>
            </xdr:cNvPr>
            <xdr:cNvSpPr txBox="1"/>
          </xdr:nvSpPr>
          <xdr:spPr>
            <a:xfrm>
              <a:off x="1638300" y="1485900"/>
              <a:ext cx="962025"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s-CL" sz="1100" i="1">
                        <a:latin typeface="Cambria Math" panose="02040503050406030204" pitchFamily="18" charset="0"/>
                      </a:rPr>
                      <m:t>𝐶</m:t>
                    </m:r>
                    <m:r>
                      <a:rPr lang="es-CL" sz="1100" b="0" i="1">
                        <a:latin typeface="Cambria Math" panose="02040503050406030204" pitchFamily="18" charset="0"/>
                      </a:rPr>
                      <m:t>𝑙𝑜𝑟𝑜</m:t>
                    </m:r>
                  </m:oMath>
                </m:oMathPara>
              </a14:m>
              <a:endParaRPr lang="es-ES" sz="1100"/>
            </a:p>
          </xdr:txBody>
        </xdr:sp>
      </mc:Choice>
      <mc:Fallback xmlns="">
        <xdr:sp macro="" textlink="">
          <xdr:nvSpPr>
            <xdr:cNvPr id="12" name="CuadroTexto 29">
              <a:extLst>
                <a:ext uri="{FF2B5EF4-FFF2-40B4-BE49-F238E27FC236}">
                  <a16:creationId xmlns:a16="http://schemas.microsoft.com/office/drawing/2014/main" id="{4915BAA8-8739-4EF4-A443-746BB7BC9EAF}"/>
                </a:ext>
              </a:extLst>
            </xdr:cNvPr>
            <xdr:cNvSpPr txBox="1"/>
          </xdr:nvSpPr>
          <xdr:spPr>
            <a:xfrm>
              <a:off x="1638300" y="1485900"/>
              <a:ext cx="962025"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𝐶</a:t>
              </a:r>
              <a:r>
                <a:rPr lang="es-CL" sz="1100" b="0" i="0">
                  <a:latin typeface="Cambria Math" panose="02040503050406030204" pitchFamily="18" charset="0"/>
                </a:rPr>
                <a:t>𝑙𝑜𝑟𝑜</a:t>
              </a:r>
              <a:endParaRPr lang="es-ES" sz="11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oneCellAnchor>
    <xdr:from>
      <xdr:col>2</xdr:col>
      <xdr:colOff>819150</xdr:colOff>
      <xdr:row>26</xdr:row>
      <xdr:rowOff>23812</xdr:rowOff>
    </xdr:from>
    <xdr:ext cx="65" cy="172227"/>
    <xdr:sp macro="" textlink="">
      <xdr:nvSpPr>
        <xdr:cNvPr id="2" name="CuadroTexto 1">
          <a:extLst>
            <a:ext uri="{FF2B5EF4-FFF2-40B4-BE49-F238E27FC236}">
              <a16:creationId xmlns:a16="http://schemas.microsoft.com/office/drawing/2014/main" id="{056170B8-6A5E-438A-9D4A-D935CE20DF99}"/>
            </a:ext>
          </a:extLst>
        </xdr:cNvPr>
        <xdr:cNvSpPr txBox="1"/>
      </xdr:nvSpPr>
      <xdr:spPr>
        <a:xfrm>
          <a:off x="2286000" y="49768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2</xdr:col>
      <xdr:colOff>819150</xdr:colOff>
      <xdr:row>27</xdr:row>
      <xdr:rowOff>23812</xdr:rowOff>
    </xdr:from>
    <xdr:ext cx="65" cy="172227"/>
    <xdr:sp macro="" textlink="">
      <xdr:nvSpPr>
        <xdr:cNvPr id="3" name="CuadroTexto 2">
          <a:extLst>
            <a:ext uri="{FF2B5EF4-FFF2-40B4-BE49-F238E27FC236}">
              <a16:creationId xmlns:a16="http://schemas.microsoft.com/office/drawing/2014/main" id="{9BC29274-6042-43A2-8943-7C32DCE2CC71}"/>
            </a:ext>
          </a:extLst>
        </xdr:cNvPr>
        <xdr:cNvSpPr txBox="1"/>
      </xdr:nvSpPr>
      <xdr:spPr>
        <a:xfrm>
          <a:off x="2286000" y="51673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twoCellAnchor>
    <xdr:from>
      <xdr:col>3</xdr:col>
      <xdr:colOff>171450</xdr:colOff>
      <xdr:row>3</xdr:row>
      <xdr:rowOff>66675</xdr:rowOff>
    </xdr:from>
    <xdr:to>
      <xdr:col>4</xdr:col>
      <xdr:colOff>95250</xdr:colOff>
      <xdr:row>7</xdr:row>
      <xdr:rowOff>0</xdr:rowOff>
    </xdr:to>
    <xdr:sp macro="" textlink="">
      <xdr:nvSpPr>
        <xdr:cNvPr id="4" name="Triángulo isósceles 3">
          <a:extLst>
            <a:ext uri="{FF2B5EF4-FFF2-40B4-BE49-F238E27FC236}">
              <a16:creationId xmlns:a16="http://schemas.microsoft.com/office/drawing/2014/main" id="{363F5C20-5DA8-409B-9E45-DEF93643D309}"/>
            </a:ext>
          </a:extLst>
        </xdr:cNvPr>
        <xdr:cNvSpPr/>
      </xdr:nvSpPr>
      <xdr:spPr>
        <a:xfrm rot="16200000">
          <a:off x="2452687" y="642938"/>
          <a:ext cx="695325" cy="685800"/>
        </a:xfrm>
        <a:prstGeom prst="triangl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CL" sz="1100"/>
        </a:p>
      </xdr:txBody>
    </xdr:sp>
    <xdr:clientData/>
  </xdr:twoCellAnchor>
  <xdr:twoCellAnchor>
    <xdr:from>
      <xdr:col>1</xdr:col>
      <xdr:colOff>1485902</xdr:colOff>
      <xdr:row>3</xdr:row>
      <xdr:rowOff>66675</xdr:rowOff>
    </xdr:from>
    <xdr:to>
      <xdr:col>2</xdr:col>
      <xdr:colOff>342902</xdr:colOff>
      <xdr:row>7</xdr:row>
      <xdr:rowOff>0</xdr:rowOff>
    </xdr:to>
    <xdr:sp macro="" textlink="">
      <xdr:nvSpPr>
        <xdr:cNvPr id="5" name="Triángulo isósceles 4">
          <a:extLst>
            <a:ext uri="{FF2B5EF4-FFF2-40B4-BE49-F238E27FC236}">
              <a16:creationId xmlns:a16="http://schemas.microsoft.com/office/drawing/2014/main" id="{D6D06C95-2DDC-43C2-810C-A19192E040D2}"/>
            </a:ext>
          </a:extLst>
        </xdr:cNvPr>
        <xdr:cNvSpPr/>
      </xdr:nvSpPr>
      <xdr:spPr>
        <a:xfrm rot="5400000">
          <a:off x="1347789" y="814388"/>
          <a:ext cx="695325" cy="342900"/>
        </a:xfrm>
        <a:prstGeom prst="triangl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CL" sz="1100"/>
        </a:p>
      </xdr:txBody>
    </xdr:sp>
    <xdr:clientData/>
  </xdr:twoCellAnchor>
  <xdr:twoCellAnchor>
    <xdr:from>
      <xdr:col>2</xdr:col>
      <xdr:colOff>28575</xdr:colOff>
      <xdr:row>4</xdr:row>
      <xdr:rowOff>28575</xdr:rowOff>
    </xdr:from>
    <xdr:to>
      <xdr:col>3</xdr:col>
      <xdr:colOff>466725</xdr:colOff>
      <xdr:row>6</xdr:row>
      <xdr:rowOff>47625</xdr:rowOff>
    </xdr:to>
    <xdr:sp macro="" textlink="">
      <xdr:nvSpPr>
        <xdr:cNvPr id="6" name="Rectángulo 5">
          <a:extLst>
            <a:ext uri="{FF2B5EF4-FFF2-40B4-BE49-F238E27FC236}">
              <a16:creationId xmlns:a16="http://schemas.microsoft.com/office/drawing/2014/main" id="{245BB8A6-A74C-40E5-9A7F-AD6F63CAF4A7}"/>
            </a:ext>
          </a:extLst>
        </xdr:cNvPr>
        <xdr:cNvSpPr/>
      </xdr:nvSpPr>
      <xdr:spPr>
        <a:xfrm>
          <a:off x="1552575" y="790575"/>
          <a:ext cx="1200150" cy="4000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CL" sz="1100"/>
        </a:p>
      </xdr:txBody>
    </xdr:sp>
    <xdr:clientData/>
  </xdr:twoCellAnchor>
  <xdr:twoCellAnchor>
    <xdr:from>
      <xdr:col>1</xdr:col>
      <xdr:colOff>2200275</xdr:colOff>
      <xdr:row>4</xdr:row>
      <xdr:rowOff>28575</xdr:rowOff>
    </xdr:from>
    <xdr:to>
      <xdr:col>3</xdr:col>
      <xdr:colOff>485775</xdr:colOff>
      <xdr:row>6</xdr:row>
      <xdr:rowOff>66675</xdr:rowOff>
    </xdr:to>
    <xdr:sp macro="" textlink="">
      <xdr:nvSpPr>
        <xdr:cNvPr id="7" name="CuadroTexto 6">
          <a:extLst>
            <a:ext uri="{FF2B5EF4-FFF2-40B4-BE49-F238E27FC236}">
              <a16:creationId xmlns:a16="http://schemas.microsoft.com/office/drawing/2014/main" id="{A2D8CE69-8C7F-4297-BCE1-6997477AC753}"/>
            </a:ext>
          </a:extLst>
        </xdr:cNvPr>
        <xdr:cNvSpPr txBox="1"/>
      </xdr:nvSpPr>
      <xdr:spPr>
        <a:xfrm>
          <a:off x="1524000" y="790575"/>
          <a:ext cx="1247775"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000"/>
            <a:t>Canaleta de parshall</a:t>
          </a:r>
        </a:p>
      </xdr:txBody>
    </xdr:sp>
    <xdr:clientData/>
  </xdr:twoCellAnchor>
  <xdr:twoCellAnchor>
    <xdr:from>
      <xdr:col>1</xdr:col>
      <xdr:colOff>295275</xdr:colOff>
      <xdr:row>4</xdr:row>
      <xdr:rowOff>85725</xdr:rowOff>
    </xdr:from>
    <xdr:to>
      <xdr:col>1</xdr:col>
      <xdr:colOff>1285875</xdr:colOff>
      <xdr:row>4</xdr:row>
      <xdr:rowOff>95250</xdr:rowOff>
    </xdr:to>
    <xdr:cxnSp macro="">
      <xdr:nvCxnSpPr>
        <xdr:cNvPr id="8" name="Conector recto de flecha 7">
          <a:extLst>
            <a:ext uri="{FF2B5EF4-FFF2-40B4-BE49-F238E27FC236}">
              <a16:creationId xmlns:a16="http://schemas.microsoft.com/office/drawing/2014/main" id="{727E15ED-BA55-4DE1-A81B-3F8AE20EE335}"/>
            </a:ext>
          </a:extLst>
        </xdr:cNvPr>
        <xdr:cNvCxnSpPr/>
      </xdr:nvCxnSpPr>
      <xdr:spPr>
        <a:xfrm flipV="1">
          <a:off x="1057275" y="847725"/>
          <a:ext cx="466725"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285750</xdr:colOff>
      <xdr:row>6</xdr:row>
      <xdr:rowOff>66675</xdr:rowOff>
    </xdr:from>
    <xdr:to>
      <xdr:col>1</xdr:col>
      <xdr:colOff>1276350</xdr:colOff>
      <xdr:row>6</xdr:row>
      <xdr:rowOff>76200</xdr:rowOff>
    </xdr:to>
    <xdr:cxnSp macro="">
      <xdr:nvCxnSpPr>
        <xdr:cNvPr id="9" name="Conector recto de flecha 8">
          <a:extLst>
            <a:ext uri="{FF2B5EF4-FFF2-40B4-BE49-F238E27FC236}">
              <a16:creationId xmlns:a16="http://schemas.microsoft.com/office/drawing/2014/main" id="{D8EFE3F2-2E65-465A-B142-7D504EB4497A}"/>
            </a:ext>
          </a:extLst>
        </xdr:cNvPr>
        <xdr:cNvCxnSpPr/>
      </xdr:nvCxnSpPr>
      <xdr:spPr>
        <a:xfrm flipV="1">
          <a:off x="1047750" y="1209675"/>
          <a:ext cx="47625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123825</xdr:colOff>
      <xdr:row>5</xdr:row>
      <xdr:rowOff>19050</xdr:rowOff>
    </xdr:from>
    <xdr:to>
      <xdr:col>5</xdr:col>
      <xdr:colOff>352425</xdr:colOff>
      <xdr:row>5</xdr:row>
      <xdr:rowOff>28575</xdr:rowOff>
    </xdr:to>
    <xdr:cxnSp macro="">
      <xdr:nvCxnSpPr>
        <xdr:cNvPr id="10" name="Conector recto de flecha 9">
          <a:extLst>
            <a:ext uri="{FF2B5EF4-FFF2-40B4-BE49-F238E27FC236}">
              <a16:creationId xmlns:a16="http://schemas.microsoft.com/office/drawing/2014/main" id="{3390D716-AAD9-449E-AB8A-BDD75B19C77D}"/>
            </a:ext>
          </a:extLst>
        </xdr:cNvPr>
        <xdr:cNvCxnSpPr/>
      </xdr:nvCxnSpPr>
      <xdr:spPr>
        <a:xfrm flipV="1">
          <a:off x="3171825" y="971550"/>
          <a:ext cx="99060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184150</xdr:colOff>
      <xdr:row>22</xdr:row>
      <xdr:rowOff>66675</xdr:rowOff>
    </xdr:from>
    <xdr:to>
      <xdr:col>11</xdr:col>
      <xdr:colOff>3089275</xdr:colOff>
      <xdr:row>22</xdr:row>
      <xdr:rowOff>438150</xdr:rowOff>
    </xdr:to>
    <xdr:pic>
      <xdr:nvPicPr>
        <xdr:cNvPr id="11" name="Imagen 10">
          <a:extLst>
            <a:ext uri="{FF2B5EF4-FFF2-40B4-BE49-F238E27FC236}">
              <a16:creationId xmlns:a16="http://schemas.microsoft.com/office/drawing/2014/main" id="{4D7038B1-7269-4CB8-955A-51F9A23A0E19}"/>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566150" y="4257675"/>
          <a:ext cx="5810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184150</xdr:colOff>
      <xdr:row>41</xdr:row>
      <xdr:rowOff>66675</xdr:rowOff>
    </xdr:from>
    <xdr:to>
      <xdr:col>5</xdr:col>
      <xdr:colOff>3089275</xdr:colOff>
      <xdr:row>41</xdr:row>
      <xdr:rowOff>438150</xdr:rowOff>
    </xdr:to>
    <xdr:pic>
      <xdr:nvPicPr>
        <xdr:cNvPr id="12" name="Imagen 11">
          <a:extLst>
            <a:ext uri="{FF2B5EF4-FFF2-40B4-BE49-F238E27FC236}">
              <a16:creationId xmlns:a16="http://schemas.microsoft.com/office/drawing/2014/main" id="{9E31CA48-237D-40A2-ADED-435221B3176D}"/>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94150" y="7877175"/>
          <a:ext cx="581025"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400050</xdr:colOff>
      <xdr:row>2</xdr:row>
      <xdr:rowOff>38100</xdr:rowOff>
    </xdr:from>
    <xdr:ext cx="714374" cy="274947"/>
    <mc:AlternateContent xmlns:mc="http://schemas.openxmlformats.org/markup-compatibility/2006" xmlns:a14="http://schemas.microsoft.com/office/drawing/2010/main">
      <mc:Choice Requires="a14">
        <xdr:sp macro="" textlink="">
          <xdr:nvSpPr>
            <xdr:cNvPr id="13" name="CuadroTexto 29">
              <a:extLst>
                <a:ext uri="{FF2B5EF4-FFF2-40B4-BE49-F238E27FC236}">
                  <a16:creationId xmlns:a16="http://schemas.microsoft.com/office/drawing/2014/main" id="{50455010-7A6A-4100-93C6-B261E437F7D9}"/>
                </a:ext>
              </a:extLst>
            </xdr:cNvPr>
            <xdr:cNvSpPr txBox="1"/>
          </xdr:nvSpPr>
          <xdr:spPr>
            <a:xfrm>
              <a:off x="1162050" y="41910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CL" sz="1100" b="0" i="1">
                            <a:latin typeface="Cambria Math" panose="02040503050406030204" pitchFamily="18" charset="0"/>
                          </a:rPr>
                          <m:t>h</m:t>
                        </m:r>
                        <m:r>
                          <a:rPr lang="es-CL" sz="1100" b="0" i="1">
                            <a:latin typeface="Cambria Math" panose="02040503050406030204" pitchFamily="18" charset="0"/>
                          </a:rPr>
                          <m:t>,</m:t>
                        </m:r>
                        <m:r>
                          <a:rPr lang="es-ES" sz="1100" b="0" i="1">
                            <a:latin typeface="Cambria Math"/>
                          </a:rPr>
                          <m:t>𝑖𝑛</m:t>
                        </m:r>
                      </m:sub>
                    </m:sSub>
                  </m:oMath>
                </m:oMathPara>
              </a14:m>
              <a:endParaRPr lang="es-ES" sz="1100"/>
            </a:p>
          </xdr:txBody>
        </xdr:sp>
      </mc:Choice>
      <mc:Fallback xmlns="">
        <xdr:sp macro="" textlink="">
          <xdr:nvSpPr>
            <xdr:cNvPr id="13" name="CuadroTexto 29">
              <a:extLst>
                <a:ext uri="{FF2B5EF4-FFF2-40B4-BE49-F238E27FC236}">
                  <a16:creationId xmlns:a16="http://schemas.microsoft.com/office/drawing/2014/main" id="{50455010-7A6A-4100-93C6-B261E437F7D9}"/>
                </a:ext>
              </a:extLst>
            </xdr:cNvPr>
            <xdr:cNvSpPr txBox="1"/>
          </xdr:nvSpPr>
          <xdr:spPr>
            <a:xfrm>
              <a:off x="1162050" y="41910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CL" sz="1100" b="0" i="0">
                  <a:latin typeface="Cambria Math" panose="02040503050406030204" pitchFamily="18" charset="0"/>
                </a:rPr>
                <a:t>ℎ,</a:t>
              </a:r>
              <a:r>
                <a:rPr lang="es-ES" sz="1100" b="0" i="0">
                  <a:latin typeface="Cambria Math"/>
                </a:rPr>
                <a:t>𝑖𝑛</a:t>
              </a:r>
              <a:r>
                <a:rPr lang="es-ES" sz="1100" b="0" i="0">
                  <a:latin typeface="Cambria Math" panose="02040503050406030204" pitchFamily="18" charset="0"/>
                </a:rPr>
                <a:t>)</a:t>
              </a:r>
              <a:endParaRPr lang="es-ES" sz="1100"/>
            </a:p>
          </xdr:txBody>
        </xdr:sp>
      </mc:Fallback>
    </mc:AlternateContent>
    <xdr:clientData/>
  </xdr:oneCellAnchor>
  <xdr:oneCellAnchor>
    <xdr:from>
      <xdr:col>4</xdr:col>
      <xdr:colOff>276225</xdr:colOff>
      <xdr:row>3</xdr:row>
      <xdr:rowOff>66675</xdr:rowOff>
    </xdr:from>
    <xdr:ext cx="714374" cy="274947"/>
    <mc:AlternateContent xmlns:mc="http://schemas.openxmlformats.org/markup-compatibility/2006" xmlns:a14="http://schemas.microsoft.com/office/drawing/2010/main">
      <mc:Choice Requires="a14">
        <xdr:sp macro="" textlink="">
          <xdr:nvSpPr>
            <xdr:cNvPr id="14" name="CuadroTexto 29">
              <a:extLst>
                <a:ext uri="{FF2B5EF4-FFF2-40B4-BE49-F238E27FC236}">
                  <a16:creationId xmlns:a16="http://schemas.microsoft.com/office/drawing/2014/main" id="{73512CAC-4677-4EA8-A846-C30CAE9BEA02}"/>
                </a:ext>
              </a:extLst>
            </xdr:cNvPr>
            <xdr:cNvSpPr txBox="1"/>
          </xdr:nvSpPr>
          <xdr:spPr>
            <a:xfrm>
              <a:off x="3324225" y="638175"/>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CL" sz="1100" b="0" i="1">
                            <a:latin typeface="Cambria Math" panose="02040503050406030204" pitchFamily="18" charset="0"/>
                          </a:rPr>
                          <m:t>h</m:t>
                        </m:r>
                        <m:r>
                          <a:rPr lang="es-CL" sz="1100" b="0" i="1">
                            <a:latin typeface="Cambria Math" panose="02040503050406030204" pitchFamily="18" charset="0"/>
                          </a:rPr>
                          <m:t>,</m:t>
                        </m:r>
                        <m:r>
                          <a:rPr lang="es-CL" sz="1100" b="0" i="1">
                            <a:latin typeface="Cambria Math" panose="02040503050406030204" pitchFamily="18" charset="0"/>
                          </a:rPr>
                          <m:t>𝑜𝑢𝑡</m:t>
                        </m:r>
                      </m:sub>
                    </m:sSub>
                  </m:oMath>
                </m:oMathPara>
              </a14:m>
              <a:endParaRPr lang="es-ES" sz="1100"/>
            </a:p>
          </xdr:txBody>
        </xdr:sp>
      </mc:Choice>
      <mc:Fallback xmlns="">
        <xdr:sp macro="" textlink="">
          <xdr:nvSpPr>
            <xdr:cNvPr id="14" name="CuadroTexto 29">
              <a:extLst>
                <a:ext uri="{FF2B5EF4-FFF2-40B4-BE49-F238E27FC236}">
                  <a16:creationId xmlns:a16="http://schemas.microsoft.com/office/drawing/2014/main" id="{73512CAC-4677-4EA8-A846-C30CAE9BEA02}"/>
                </a:ext>
              </a:extLst>
            </xdr:cNvPr>
            <xdr:cNvSpPr txBox="1"/>
          </xdr:nvSpPr>
          <xdr:spPr>
            <a:xfrm>
              <a:off x="3324225" y="638175"/>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CL" sz="1100" b="0" i="0">
                  <a:latin typeface="Cambria Math" panose="02040503050406030204" pitchFamily="18" charset="0"/>
                </a:rPr>
                <a:t>ℎ,𝑜𝑢𝑡</a:t>
              </a:r>
              <a:r>
                <a:rPr lang="es-ES" sz="1100" b="0" i="0">
                  <a:latin typeface="Cambria Math" panose="02040503050406030204" pitchFamily="18" charset="0"/>
                </a:rPr>
                <a:t>)</a:t>
              </a:r>
              <a:endParaRPr lang="es-ES" sz="1100"/>
            </a:p>
          </xdr:txBody>
        </xdr:sp>
      </mc:Fallback>
    </mc:AlternateContent>
    <xdr:clientData/>
  </xdr:oneCellAnchor>
  <xdr:oneCellAnchor>
    <xdr:from>
      <xdr:col>1</xdr:col>
      <xdr:colOff>209549</xdr:colOff>
      <xdr:row>6</xdr:row>
      <xdr:rowOff>95250</xdr:rowOff>
    </xdr:from>
    <xdr:ext cx="962025" cy="274947"/>
    <mc:AlternateContent xmlns:mc="http://schemas.openxmlformats.org/markup-compatibility/2006" xmlns:a14="http://schemas.microsoft.com/office/drawing/2010/main">
      <mc:Choice Requires="a14">
        <xdr:sp macro="" textlink="">
          <xdr:nvSpPr>
            <xdr:cNvPr id="15" name="CuadroTexto 29">
              <a:extLst>
                <a:ext uri="{FF2B5EF4-FFF2-40B4-BE49-F238E27FC236}">
                  <a16:creationId xmlns:a16="http://schemas.microsoft.com/office/drawing/2014/main" id="{D4695723-B691-4392-A0C5-20863A1CE47E}"/>
                </a:ext>
              </a:extLst>
            </xdr:cNvPr>
            <xdr:cNvSpPr txBox="1"/>
          </xdr:nvSpPr>
          <xdr:spPr>
            <a:xfrm>
              <a:off x="971549" y="1238250"/>
              <a:ext cx="962025"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s-CL" sz="1100" i="1">
                        <a:latin typeface="Cambria Math" panose="02040503050406030204" pitchFamily="18" charset="0"/>
                      </a:rPr>
                      <m:t>𝐶</m:t>
                    </m:r>
                    <m:r>
                      <a:rPr lang="es-CL" sz="1100" b="0" i="1">
                        <a:latin typeface="Cambria Math" panose="02040503050406030204" pitchFamily="18" charset="0"/>
                      </a:rPr>
                      <m:t>𝑜𝑎𝑔𝑢𝑙𝑎𝑛𝑡𝑒</m:t>
                    </m:r>
                  </m:oMath>
                </m:oMathPara>
              </a14:m>
              <a:endParaRPr lang="es-ES" sz="1100"/>
            </a:p>
          </xdr:txBody>
        </xdr:sp>
      </mc:Choice>
      <mc:Fallback xmlns="">
        <xdr:sp macro="" textlink="">
          <xdr:nvSpPr>
            <xdr:cNvPr id="15" name="CuadroTexto 29">
              <a:extLst>
                <a:ext uri="{FF2B5EF4-FFF2-40B4-BE49-F238E27FC236}">
                  <a16:creationId xmlns:a16="http://schemas.microsoft.com/office/drawing/2014/main" id="{D4695723-B691-4392-A0C5-20863A1CE47E}"/>
                </a:ext>
              </a:extLst>
            </xdr:cNvPr>
            <xdr:cNvSpPr txBox="1"/>
          </xdr:nvSpPr>
          <xdr:spPr>
            <a:xfrm>
              <a:off x="971549" y="1238250"/>
              <a:ext cx="962025"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𝐶</a:t>
              </a:r>
              <a:r>
                <a:rPr lang="es-CL" sz="1100" b="0" i="0">
                  <a:latin typeface="Cambria Math" panose="02040503050406030204" pitchFamily="18" charset="0"/>
                </a:rPr>
                <a:t>𝑜𝑎𝑔𝑢𝑙𝑎𝑛𝑡𝑒</a:t>
              </a:r>
              <a:endParaRPr lang="es-ES" sz="1100"/>
            </a:p>
          </xdr:txBody>
        </xdr:sp>
      </mc:Fallback>
    </mc:AlternateContent>
    <xdr:clientData/>
  </xdr:oneCellAnchor>
</xdr:wsDr>
</file>

<file path=xl/drawings/drawing4.xml><?xml version="1.0" encoding="utf-8"?>
<xdr:wsDr xmlns:xdr="http://schemas.openxmlformats.org/drawingml/2006/spreadsheetDrawing" xmlns:a="http://schemas.openxmlformats.org/drawingml/2006/main">
  <xdr:oneCellAnchor>
    <xdr:from>
      <xdr:col>2</xdr:col>
      <xdr:colOff>266700</xdr:colOff>
      <xdr:row>22</xdr:row>
      <xdr:rowOff>23812</xdr:rowOff>
    </xdr:from>
    <xdr:ext cx="65" cy="172227"/>
    <xdr:sp macro="" textlink="">
      <xdr:nvSpPr>
        <xdr:cNvPr id="2" name="CuadroTexto 1">
          <a:extLst>
            <a:ext uri="{FF2B5EF4-FFF2-40B4-BE49-F238E27FC236}">
              <a16:creationId xmlns:a16="http://schemas.microsoft.com/office/drawing/2014/main" id="{0084173D-4D0B-4C8E-9752-6A396E29D7E2}"/>
            </a:ext>
          </a:extLst>
        </xdr:cNvPr>
        <xdr:cNvSpPr txBox="1"/>
      </xdr:nvSpPr>
      <xdr:spPr>
        <a:xfrm>
          <a:off x="1790700" y="42148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2</xdr:col>
      <xdr:colOff>819150</xdr:colOff>
      <xdr:row>24</xdr:row>
      <xdr:rowOff>0</xdr:rowOff>
    </xdr:from>
    <xdr:ext cx="65" cy="172227"/>
    <xdr:sp macro="" textlink="">
      <xdr:nvSpPr>
        <xdr:cNvPr id="3" name="CuadroTexto 2">
          <a:extLst>
            <a:ext uri="{FF2B5EF4-FFF2-40B4-BE49-F238E27FC236}">
              <a16:creationId xmlns:a16="http://schemas.microsoft.com/office/drawing/2014/main" id="{79DD6772-3A04-4CFD-B54F-57E7C15DA9AC}"/>
            </a:ext>
          </a:extLst>
        </xdr:cNvPr>
        <xdr:cNvSpPr txBox="1"/>
      </xdr:nvSpPr>
      <xdr:spPr>
        <a:xfrm>
          <a:off x="2286000" y="457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2</xdr:col>
      <xdr:colOff>819150</xdr:colOff>
      <xdr:row>24</xdr:row>
      <xdr:rowOff>0</xdr:rowOff>
    </xdr:from>
    <xdr:ext cx="65" cy="172227"/>
    <xdr:sp macro="" textlink="">
      <xdr:nvSpPr>
        <xdr:cNvPr id="4" name="CuadroTexto 3">
          <a:extLst>
            <a:ext uri="{FF2B5EF4-FFF2-40B4-BE49-F238E27FC236}">
              <a16:creationId xmlns:a16="http://schemas.microsoft.com/office/drawing/2014/main" id="{50AE982E-1918-4ABC-99EA-F7F418D410E7}"/>
            </a:ext>
          </a:extLst>
        </xdr:cNvPr>
        <xdr:cNvSpPr txBox="1"/>
      </xdr:nvSpPr>
      <xdr:spPr>
        <a:xfrm>
          <a:off x="2286000" y="4572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twoCellAnchor>
    <xdr:from>
      <xdr:col>2</xdr:col>
      <xdr:colOff>123825</xdr:colOff>
      <xdr:row>2</xdr:row>
      <xdr:rowOff>104775</xdr:rowOff>
    </xdr:from>
    <xdr:to>
      <xdr:col>5</xdr:col>
      <xdr:colOff>142875</xdr:colOff>
      <xdr:row>8</xdr:row>
      <xdr:rowOff>142875</xdr:rowOff>
    </xdr:to>
    <xdr:sp macro="" textlink="">
      <xdr:nvSpPr>
        <xdr:cNvPr id="5" name="Rectángulo 4">
          <a:extLst>
            <a:ext uri="{FF2B5EF4-FFF2-40B4-BE49-F238E27FC236}">
              <a16:creationId xmlns:a16="http://schemas.microsoft.com/office/drawing/2014/main" id="{890C036F-0662-4A13-9914-76D9D4284545}"/>
            </a:ext>
          </a:extLst>
        </xdr:cNvPr>
        <xdr:cNvSpPr/>
      </xdr:nvSpPr>
      <xdr:spPr>
        <a:xfrm>
          <a:off x="1647825" y="485775"/>
          <a:ext cx="2305050" cy="11811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CL" sz="1100"/>
        </a:p>
      </xdr:txBody>
    </xdr:sp>
    <xdr:clientData/>
  </xdr:twoCellAnchor>
  <xdr:twoCellAnchor>
    <xdr:from>
      <xdr:col>1</xdr:col>
      <xdr:colOff>638175</xdr:colOff>
      <xdr:row>4</xdr:row>
      <xdr:rowOff>47625</xdr:rowOff>
    </xdr:from>
    <xdr:to>
      <xdr:col>2</xdr:col>
      <xdr:colOff>66675</xdr:colOff>
      <xdr:row>4</xdr:row>
      <xdr:rowOff>66675</xdr:rowOff>
    </xdr:to>
    <xdr:cxnSp macro="">
      <xdr:nvCxnSpPr>
        <xdr:cNvPr id="6" name="Conector recto de flecha 5">
          <a:extLst>
            <a:ext uri="{FF2B5EF4-FFF2-40B4-BE49-F238E27FC236}">
              <a16:creationId xmlns:a16="http://schemas.microsoft.com/office/drawing/2014/main" id="{5BA16A7B-42A7-4C1A-9AC4-1E0D382DD0DB}"/>
            </a:ext>
          </a:extLst>
        </xdr:cNvPr>
        <xdr:cNvCxnSpPr/>
      </xdr:nvCxnSpPr>
      <xdr:spPr>
        <a:xfrm flipV="1">
          <a:off x="1400175" y="809625"/>
          <a:ext cx="190500" cy="190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142875</xdr:colOff>
      <xdr:row>5</xdr:row>
      <xdr:rowOff>114300</xdr:rowOff>
    </xdr:from>
    <xdr:to>
      <xdr:col>5</xdr:col>
      <xdr:colOff>1428750</xdr:colOff>
      <xdr:row>5</xdr:row>
      <xdr:rowOff>123825</xdr:rowOff>
    </xdr:to>
    <xdr:cxnSp macro="">
      <xdr:nvCxnSpPr>
        <xdr:cNvPr id="7" name="Conector recto de flecha 6">
          <a:extLst>
            <a:ext uri="{FF2B5EF4-FFF2-40B4-BE49-F238E27FC236}">
              <a16:creationId xmlns:a16="http://schemas.microsoft.com/office/drawing/2014/main" id="{76E1FDFE-B463-45DE-8908-8A6A7AACF28D}"/>
            </a:ext>
          </a:extLst>
        </xdr:cNvPr>
        <xdr:cNvCxnSpPr>
          <a:stCxn id="5" idx="3"/>
        </xdr:cNvCxnSpPr>
      </xdr:nvCxnSpPr>
      <xdr:spPr>
        <a:xfrm flipV="1">
          <a:off x="3952875" y="1066800"/>
          <a:ext cx="619125"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400050</xdr:colOff>
      <xdr:row>4</xdr:row>
      <xdr:rowOff>123825</xdr:rowOff>
    </xdr:from>
    <xdr:to>
      <xdr:col>4</xdr:col>
      <xdr:colOff>704850</xdr:colOff>
      <xdr:row>7</xdr:row>
      <xdr:rowOff>0</xdr:rowOff>
    </xdr:to>
    <xdr:sp macro="" textlink="">
      <xdr:nvSpPr>
        <xdr:cNvPr id="8" name="CuadroTexto 7">
          <a:extLst>
            <a:ext uri="{FF2B5EF4-FFF2-40B4-BE49-F238E27FC236}">
              <a16:creationId xmlns:a16="http://schemas.microsoft.com/office/drawing/2014/main" id="{A421CB75-5E82-47FE-84A0-B0AB91C490A7}"/>
            </a:ext>
          </a:extLst>
        </xdr:cNvPr>
        <xdr:cNvSpPr txBox="1"/>
      </xdr:nvSpPr>
      <xdr:spPr>
        <a:xfrm>
          <a:off x="1924050" y="885825"/>
          <a:ext cx="1828800"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a:t>Floculador flujo forzado</a:t>
          </a:r>
        </a:p>
      </xdr:txBody>
    </xdr:sp>
    <xdr:clientData/>
  </xdr:twoCellAnchor>
  <xdr:twoCellAnchor>
    <xdr:from>
      <xdr:col>1</xdr:col>
      <xdr:colOff>647700</xdr:colOff>
      <xdr:row>7</xdr:row>
      <xdr:rowOff>28575</xdr:rowOff>
    </xdr:from>
    <xdr:to>
      <xdr:col>2</xdr:col>
      <xdr:colOff>76200</xdr:colOff>
      <xdr:row>7</xdr:row>
      <xdr:rowOff>47625</xdr:rowOff>
    </xdr:to>
    <xdr:cxnSp macro="">
      <xdr:nvCxnSpPr>
        <xdr:cNvPr id="9" name="Conector recto de flecha 8">
          <a:extLst>
            <a:ext uri="{FF2B5EF4-FFF2-40B4-BE49-F238E27FC236}">
              <a16:creationId xmlns:a16="http://schemas.microsoft.com/office/drawing/2014/main" id="{78D0AA06-A159-4F3A-846D-EABD7C2D413F}"/>
            </a:ext>
          </a:extLst>
        </xdr:cNvPr>
        <xdr:cNvCxnSpPr/>
      </xdr:nvCxnSpPr>
      <xdr:spPr>
        <a:xfrm flipV="1">
          <a:off x="1409700" y="1362075"/>
          <a:ext cx="190500" cy="190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1304925</xdr:colOff>
      <xdr:row>2</xdr:row>
      <xdr:rowOff>95250</xdr:rowOff>
    </xdr:from>
    <xdr:ext cx="714374" cy="274947"/>
    <mc:AlternateContent xmlns:mc="http://schemas.openxmlformats.org/markup-compatibility/2006" xmlns:a14="http://schemas.microsoft.com/office/drawing/2010/main">
      <mc:Choice Requires="a14">
        <xdr:sp macro="" textlink="">
          <xdr:nvSpPr>
            <xdr:cNvPr id="10" name="CuadroTexto 29">
              <a:extLst>
                <a:ext uri="{FF2B5EF4-FFF2-40B4-BE49-F238E27FC236}">
                  <a16:creationId xmlns:a16="http://schemas.microsoft.com/office/drawing/2014/main" id="{48DA9C8E-83EE-4B6C-B3C5-179EB31FA001}"/>
                </a:ext>
              </a:extLst>
            </xdr:cNvPr>
            <xdr:cNvSpPr txBox="1"/>
          </xdr:nvSpPr>
          <xdr:spPr>
            <a:xfrm>
              <a:off x="1524000" y="47625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CL" sz="1100" b="0" i="1">
                            <a:latin typeface="Cambria Math" panose="02040503050406030204" pitchFamily="18" charset="0"/>
                          </a:rPr>
                          <m:t>h</m:t>
                        </m:r>
                        <m:r>
                          <a:rPr lang="es-CL" sz="1100" b="0" i="1">
                            <a:latin typeface="Cambria Math" panose="02040503050406030204" pitchFamily="18" charset="0"/>
                          </a:rPr>
                          <m:t>,</m:t>
                        </m:r>
                        <m:r>
                          <a:rPr lang="es-ES" sz="1100" b="0" i="1">
                            <a:latin typeface="Cambria Math"/>
                          </a:rPr>
                          <m:t>𝑖𝑛</m:t>
                        </m:r>
                      </m:sub>
                    </m:sSub>
                  </m:oMath>
                </m:oMathPara>
              </a14:m>
              <a:endParaRPr lang="es-ES" sz="1100"/>
            </a:p>
          </xdr:txBody>
        </xdr:sp>
      </mc:Choice>
      <mc:Fallback xmlns="">
        <xdr:sp macro="" textlink="">
          <xdr:nvSpPr>
            <xdr:cNvPr id="10" name="CuadroTexto 29">
              <a:extLst>
                <a:ext uri="{FF2B5EF4-FFF2-40B4-BE49-F238E27FC236}">
                  <a16:creationId xmlns:a16="http://schemas.microsoft.com/office/drawing/2014/main" id="{48DA9C8E-83EE-4B6C-B3C5-179EB31FA001}"/>
                </a:ext>
              </a:extLst>
            </xdr:cNvPr>
            <xdr:cNvSpPr txBox="1"/>
          </xdr:nvSpPr>
          <xdr:spPr>
            <a:xfrm>
              <a:off x="1524000" y="47625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CL" sz="1100" b="0" i="0">
                  <a:latin typeface="Cambria Math" panose="02040503050406030204" pitchFamily="18" charset="0"/>
                </a:rPr>
                <a:t>ℎ,</a:t>
              </a:r>
              <a:r>
                <a:rPr lang="es-ES" sz="1100" b="0" i="0">
                  <a:latin typeface="Cambria Math"/>
                </a:rPr>
                <a:t>𝑖𝑛</a:t>
              </a:r>
              <a:r>
                <a:rPr lang="es-ES" sz="1100" b="0" i="0">
                  <a:latin typeface="Cambria Math" panose="02040503050406030204" pitchFamily="18" charset="0"/>
                </a:rPr>
                <a:t>)</a:t>
              </a:r>
              <a:endParaRPr lang="es-ES" sz="1100"/>
            </a:p>
          </xdr:txBody>
        </xdr:sp>
      </mc:Fallback>
    </mc:AlternateContent>
    <xdr:clientData/>
  </xdr:oneCellAnchor>
  <xdr:oneCellAnchor>
    <xdr:from>
      <xdr:col>5</xdr:col>
      <xdr:colOff>390525</xdr:colOff>
      <xdr:row>3</xdr:row>
      <xdr:rowOff>152400</xdr:rowOff>
    </xdr:from>
    <xdr:ext cx="714374" cy="274947"/>
    <mc:AlternateContent xmlns:mc="http://schemas.openxmlformats.org/markup-compatibility/2006" xmlns:a14="http://schemas.microsoft.com/office/drawing/2010/main">
      <mc:Choice Requires="a14">
        <xdr:sp macro="" textlink="">
          <xdr:nvSpPr>
            <xdr:cNvPr id="11" name="CuadroTexto 29">
              <a:extLst>
                <a:ext uri="{FF2B5EF4-FFF2-40B4-BE49-F238E27FC236}">
                  <a16:creationId xmlns:a16="http://schemas.microsoft.com/office/drawing/2014/main" id="{6249787A-3CB3-415B-8AFA-852717E42CD3}"/>
                </a:ext>
              </a:extLst>
            </xdr:cNvPr>
            <xdr:cNvSpPr txBox="1"/>
          </xdr:nvSpPr>
          <xdr:spPr>
            <a:xfrm>
              <a:off x="4200525" y="72390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CL" sz="1100" b="0" i="1">
                            <a:latin typeface="Cambria Math" panose="02040503050406030204" pitchFamily="18" charset="0"/>
                          </a:rPr>
                          <m:t>h</m:t>
                        </m:r>
                        <m:r>
                          <a:rPr lang="es-CL" sz="1100" b="0" i="1">
                            <a:latin typeface="Cambria Math" panose="02040503050406030204" pitchFamily="18" charset="0"/>
                          </a:rPr>
                          <m:t>,</m:t>
                        </m:r>
                        <m:r>
                          <a:rPr lang="es-CL" sz="1100" b="0" i="1">
                            <a:latin typeface="Cambria Math" panose="02040503050406030204" pitchFamily="18" charset="0"/>
                          </a:rPr>
                          <m:t>𝑜𝑢𝑡</m:t>
                        </m:r>
                      </m:sub>
                    </m:sSub>
                  </m:oMath>
                </m:oMathPara>
              </a14:m>
              <a:endParaRPr lang="es-ES" sz="1100"/>
            </a:p>
          </xdr:txBody>
        </xdr:sp>
      </mc:Choice>
      <mc:Fallback xmlns="">
        <xdr:sp macro="" textlink="">
          <xdr:nvSpPr>
            <xdr:cNvPr id="11" name="CuadroTexto 29">
              <a:extLst>
                <a:ext uri="{FF2B5EF4-FFF2-40B4-BE49-F238E27FC236}">
                  <a16:creationId xmlns:a16="http://schemas.microsoft.com/office/drawing/2014/main" id="{6249787A-3CB3-415B-8AFA-852717E42CD3}"/>
                </a:ext>
              </a:extLst>
            </xdr:cNvPr>
            <xdr:cNvSpPr txBox="1"/>
          </xdr:nvSpPr>
          <xdr:spPr>
            <a:xfrm>
              <a:off x="4200525" y="72390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CL" sz="1100" b="0" i="0">
                  <a:latin typeface="Cambria Math" panose="02040503050406030204" pitchFamily="18" charset="0"/>
                </a:rPr>
                <a:t>ℎ,𝑜𝑢𝑡</a:t>
              </a:r>
              <a:r>
                <a:rPr lang="es-ES" sz="1100" b="0" i="0">
                  <a:latin typeface="Cambria Math" panose="02040503050406030204" pitchFamily="18" charset="0"/>
                </a:rPr>
                <a:t>)</a:t>
              </a:r>
              <a:endParaRPr lang="es-ES" sz="1100"/>
            </a:p>
          </xdr:txBody>
        </xdr:sp>
      </mc:Fallback>
    </mc:AlternateContent>
    <xdr:clientData/>
  </xdr:oneCellAnchor>
  <xdr:oneCellAnchor>
    <xdr:from>
      <xdr:col>1</xdr:col>
      <xdr:colOff>1190625</xdr:colOff>
      <xdr:row>7</xdr:row>
      <xdr:rowOff>76200</xdr:rowOff>
    </xdr:from>
    <xdr:ext cx="962025" cy="264560"/>
    <mc:AlternateContent xmlns:mc="http://schemas.openxmlformats.org/markup-compatibility/2006" xmlns:a14="http://schemas.microsoft.com/office/drawing/2010/main">
      <mc:Choice Requires="a14">
        <xdr:sp macro="" textlink="">
          <xdr:nvSpPr>
            <xdr:cNvPr id="12" name="CuadroTexto 29">
              <a:extLst>
                <a:ext uri="{FF2B5EF4-FFF2-40B4-BE49-F238E27FC236}">
                  <a16:creationId xmlns:a16="http://schemas.microsoft.com/office/drawing/2014/main" id="{D77D0126-C452-4A8C-9829-086976E39116}"/>
                </a:ext>
              </a:extLst>
            </xdr:cNvPr>
            <xdr:cNvSpPr txBox="1"/>
          </xdr:nvSpPr>
          <xdr:spPr>
            <a:xfrm>
              <a:off x="1524000" y="1409700"/>
              <a:ext cx="9620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s-CL" sz="1100" i="1">
                        <a:latin typeface="Cambria Math" panose="02040503050406030204" pitchFamily="18" charset="0"/>
                      </a:rPr>
                      <m:t>𝐹</m:t>
                    </m:r>
                    <m:r>
                      <a:rPr lang="es-CL" sz="1100" b="0" i="1">
                        <a:latin typeface="Cambria Math" panose="02040503050406030204" pitchFamily="18" charset="0"/>
                      </a:rPr>
                      <m:t>𝑙𝑜𝑐𝑢𝑙𝑎𝑛𝑡𝑒</m:t>
                    </m:r>
                  </m:oMath>
                </m:oMathPara>
              </a14:m>
              <a:endParaRPr lang="es-CL" sz="1100" b="0"/>
            </a:p>
          </xdr:txBody>
        </xdr:sp>
      </mc:Choice>
      <mc:Fallback xmlns="">
        <xdr:sp macro="" textlink="">
          <xdr:nvSpPr>
            <xdr:cNvPr id="12" name="CuadroTexto 29">
              <a:extLst>
                <a:ext uri="{FF2B5EF4-FFF2-40B4-BE49-F238E27FC236}">
                  <a16:creationId xmlns:a16="http://schemas.microsoft.com/office/drawing/2014/main" id="{D77D0126-C452-4A8C-9829-086976E39116}"/>
                </a:ext>
              </a:extLst>
            </xdr:cNvPr>
            <xdr:cNvSpPr txBox="1"/>
          </xdr:nvSpPr>
          <xdr:spPr>
            <a:xfrm>
              <a:off x="1524000" y="1409700"/>
              <a:ext cx="9620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𝐹</a:t>
              </a:r>
              <a:r>
                <a:rPr lang="es-CL" sz="1100" b="0" i="0">
                  <a:latin typeface="Cambria Math" panose="02040503050406030204" pitchFamily="18" charset="0"/>
                </a:rPr>
                <a:t>𝑙𝑜𝑐𝑢𝑙𝑎𝑛𝑡𝑒</a:t>
              </a:r>
              <a:endParaRPr lang="es-CL" sz="1100" b="0"/>
            </a:p>
          </xdr:txBody>
        </xdr:sp>
      </mc:Fallback>
    </mc:AlternateContent>
    <xdr:clientData/>
  </xdr:oneCellAnchor>
</xdr:wsDr>
</file>

<file path=xl/drawings/drawing5.xml><?xml version="1.0" encoding="utf-8"?>
<xdr:wsDr xmlns:xdr="http://schemas.openxmlformats.org/drawingml/2006/spreadsheetDrawing" xmlns:a="http://schemas.openxmlformats.org/drawingml/2006/main">
  <xdr:oneCellAnchor>
    <xdr:from>
      <xdr:col>3</xdr:col>
      <xdr:colOff>395287</xdr:colOff>
      <xdr:row>0</xdr:row>
      <xdr:rowOff>0</xdr:rowOff>
    </xdr:from>
    <xdr:ext cx="65" cy="172227"/>
    <xdr:sp macro="" textlink="">
      <xdr:nvSpPr>
        <xdr:cNvPr id="2" name="CuadroTexto 1">
          <a:extLst>
            <a:ext uri="{FF2B5EF4-FFF2-40B4-BE49-F238E27FC236}">
              <a16:creationId xmlns:a16="http://schemas.microsoft.com/office/drawing/2014/main" id="{A70D025D-8E96-490E-B662-ED7BBCEE6489}"/>
            </a:ext>
          </a:extLst>
        </xdr:cNvPr>
        <xdr:cNvSpPr txBox="1"/>
      </xdr:nvSpPr>
      <xdr:spPr>
        <a:xfrm>
          <a:off x="7805737" y="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oneCellAnchor>
    <xdr:from>
      <xdr:col>1</xdr:col>
      <xdr:colOff>819150</xdr:colOff>
      <xdr:row>25</xdr:row>
      <xdr:rowOff>23812</xdr:rowOff>
    </xdr:from>
    <xdr:ext cx="204095" cy="172227"/>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id="{6A3B2FA7-234C-43E5-8E2A-D3C6FDBFFC11}"/>
                </a:ext>
              </a:extLst>
            </xdr:cNvPr>
            <xdr:cNvSpPr txBox="1"/>
          </xdr:nvSpPr>
          <xdr:spPr>
            <a:xfrm>
              <a:off x="5191125" y="5005387"/>
              <a:ext cx="20409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i="1">
                            <a:latin typeface="Cambria Math" panose="02040503050406030204" pitchFamily="18" charset="0"/>
                          </a:rPr>
                        </m:ctrlPr>
                      </m:sSubPr>
                      <m:e>
                        <m:r>
                          <a:rPr lang="es-CL" sz="1100" i="1">
                            <a:latin typeface="Cambria Math" panose="02040503050406030204" pitchFamily="18" charset="0"/>
                          </a:rPr>
                          <m:t>𝐴</m:t>
                        </m:r>
                      </m:e>
                      <m:sub>
                        <m:r>
                          <a:rPr lang="es-CL" sz="1100" i="1">
                            <a:latin typeface="Cambria Math" panose="02040503050406030204" pitchFamily="18" charset="0"/>
                          </a:rPr>
                          <m:t>𝑈</m:t>
                        </m:r>
                      </m:sub>
                    </m:sSub>
                  </m:oMath>
                </m:oMathPara>
              </a14:m>
              <a:endParaRPr lang="es-CL" sz="1100"/>
            </a:p>
          </xdr:txBody>
        </xdr:sp>
      </mc:Choice>
      <mc:Fallback xmlns="">
        <xdr:sp macro="" textlink="">
          <xdr:nvSpPr>
            <xdr:cNvPr id="3" name="CuadroTexto 2">
              <a:extLst>
                <a:ext uri="{FF2B5EF4-FFF2-40B4-BE49-F238E27FC236}">
                  <a16:creationId xmlns:a16="http://schemas.microsoft.com/office/drawing/2014/main" id="{6A3B2FA7-234C-43E5-8E2A-D3C6FDBFFC11}"/>
                </a:ext>
              </a:extLst>
            </xdr:cNvPr>
            <xdr:cNvSpPr txBox="1"/>
          </xdr:nvSpPr>
          <xdr:spPr>
            <a:xfrm>
              <a:off x="5191125" y="5005387"/>
              <a:ext cx="20409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L" sz="1100" i="0">
                  <a:latin typeface="Cambria Math" panose="02040503050406030204" pitchFamily="18" charset="0"/>
                </a:rPr>
                <a:t>𝐴_𝑈</a:t>
              </a:r>
              <a:endParaRPr lang="es-CL" sz="1100"/>
            </a:p>
          </xdr:txBody>
        </xdr:sp>
      </mc:Fallback>
    </mc:AlternateContent>
    <xdr:clientData/>
  </xdr:oneCellAnchor>
  <xdr:twoCellAnchor>
    <xdr:from>
      <xdr:col>4</xdr:col>
      <xdr:colOff>2133600</xdr:colOff>
      <xdr:row>41</xdr:row>
      <xdr:rowOff>19050</xdr:rowOff>
    </xdr:from>
    <xdr:to>
      <xdr:col>4</xdr:col>
      <xdr:colOff>2771775</xdr:colOff>
      <xdr:row>41</xdr:row>
      <xdr:rowOff>381000</xdr:rowOff>
    </xdr:to>
    <xdr:pic>
      <xdr:nvPicPr>
        <xdr:cNvPr id="4" name="Imagen 3">
          <a:extLst>
            <a:ext uri="{FF2B5EF4-FFF2-40B4-BE49-F238E27FC236}">
              <a16:creationId xmlns:a16="http://schemas.microsoft.com/office/drawing/2014/main" id="{1403217A-5264-41E7-A98C-15BE0851C51E}"/>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153775" y="8239125"/>
          <a:ext cx="638175"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809625</xdr:colOff>
      <xdr:row>43</xdr:row>
      <xdr:rowOff>138112</xdr:rowOff>
    </xdr:from>
    <xdr:ext cx="167995" cy="172227"/>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D89DFCE7-D0F5-4D07-8B27-54A40669F378}"/>
                </a:ext>
              </a:extLst>
            </xdr:cNvPr>
            <xdr:cNvSpPr txBox="1"/>
          </xdr:nvSpPr>
          <xdr:spPr>
            <a:xfrm>
              <a:off x="5181600" y="9139237"/>
              <a:ext cx="16799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latin typeface="Cambria Math" panose="02040503050406030204" pitchFamily="18" charset="0"/>
                          </a:rPr>
                        </m:ctrlPr>
                      </m:sSubPr>
                      <m:e>
                        <m:r>
                          <a:rPr lang="es-CL" sz="1100" b="0" i="1">
                            <a:latin typeface="Cambria Math" panose="02040503050406030204" pitchFamily="18" charset="0"/>
                          </a:rPr>
                          <m:t>𝐿</m:t>
                        </m:r>
                      </m:e>
                      <m:sub>
                        <m:r>
                          <a:rPr lang="es-CL" sz="1100" b="0" i="1">
                            <a:latin typeface="Cambria Math" panose="02040503050406030204" pitchFamily="18" charset="0"/>
                          </a:rPr>
                          <m:t>𝑐</m:t>
                        </m:r>
                      </m:sub>
                    </m:sSub>
                  </m:oMath>
                </m:oMathPara>
              </a14:m>
              <a:endParaRPr lang="es-CL" sz="1100" b="0"/>
            </a:p>
          </xdr:txBody>
        </xdr:sp>
      </mc:Choice>
      <mc:Fallback xmlns="">
        <xdr:sp macro="" textlink="">
          <xdr:nvSpPr>
            <xdr:cNvPr id="5" name="CuadroTexto 4">
              <a:extLst>
                <a:ext uri="{FF2B5EF4-FFF2-40B4-BE49-F238E27FC236}">
                  <a16:creationId xmlns:a16="http://schemas.microsoft.com/office/drawing/2014/main" id="{D89DFCE7-D0F5-4D07-8B27-54A40669F378}"/>
                </a:ext>
              </a:extLst>
            </xdr:cNvPr>
            <xdr:cNvSpPr txBox="1"/>
          </xdr:nvSpPr>
          <xdr:spPr>
            <a:xfrm>
              <a:off x="5181600" y="9139237"/>
              <a:ext cx="16799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L" sz="1100" b="0" i="0">
                  <a:latin typeface="Cambria Math" panose="02040503050406030204" pitchFamily="18" charset="0"/>
                </a:rPr>
                <a:t>𝐿_𝑐</a:t>
              </a:r>
              <a:endParaRPr lang="es-CL" sz="1100" b="0"/>
            </a:p>
          </xdr:txBody>
        </xdr:sp>
      </mc:Fallback>
    </mc:AlternateContent>
    <xdr:clientData/>
  </xdr:oneCellAnchor>
  <xdr:twoCellAnchor>
    <xdr:from>
      <xdr:col>4</xdr:col>
      <xdr:colOff>2228850</xdr:colOff>
      <xdr:row>42</xdr:row>
      <xdr:rowOff>47625</xdr:rowOff>
    </xdr:from>
    <xdr:to>
      <xdr:col>4</xdr:col>
      <xdr:colOff>2667000</xdr:colOff>
      <xdr:row>42</xdr:row>
      <xdr:rowOff>371475</xdr:rowOff>
    </xdr:to>
    <xdr:pic>
      <xdr:nvPicPr>
        <xdr:cNvPr id="6" name="Imagen 5">
          <a:extLst>
            <a:ext uri="{FF2B5EF4-FFF2-40B4-BE49-F238E27FC236}">
              <a16:creationId xmlns:a16="http://schemas.microsoft.com/office/drawing/2014/main" id="{5328164D-DC32-4D64-B622-28AD546028E9}"/>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249025" y="8658225"/>
          <a:ext cx="438150" cy="323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1762125</xdr:colOff>
      <xdr:row>43</xdr:row>
      <xdr:rowOff>28575</xdr:rowOff>
    </xdr:from>
    <xdr:to>
      <xdr:col>4</xdr:col>
      <xdr:colOff>3114675</xdr:colOff>
      <xdr:row>43</xdr:row>
      <xdr:rowOff>361950</xdr:rowOff>
    </xdr:to>
    <xdr:pic>
      <xdr:nvPicPr>
        <xdr:cNvPr id="7" name="Imagen 6">
          <a:extLst>
            <a:ext uri="{FF2B5EF4-FFF2-40B4-BE49-F238E27FC236}">
              <a16:creationId xmlns:a16="http://schemas.microsoft.com/office/drawing/2014/main" id="{AFB3AF3D-F2A3-4436-BB03-4DF0FC02C6CC}"/>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782300" y="9029700"/>
          <a:ext cx="1352550" cy="33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1762125</xdr:colOff>
      <xdr:row>44</xdr:row>
      <xdr:rowOff>19050</xdr:rowOff>
    </xdr:from>
    <xdr:to>
      <xdr:col>4</xdr:col>
      <xdr:colOff>3238500</xdr:colOff>
      <xdr:row>44</xdr:row>
      <xdr:rowOff>371475</xdr:rowOff>
    </xdr:to>
    <xdr:pic>
      <xdr:nvPicPr>
        <xdr:cNvPr id="8" name="Imagen 7">
          <a:extLst>
            <a:ext uri="{FF2B5EF4-FFF2-40B4-BE49-F238E27FC236}">
              <a16:creationId xmlns:a16="http://schemas.microsoft.com/office/drawing/2014/main" id="{0159D5B7-CEC1-4F47-AC4B-EEB33E461E23}"/>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782300" y="9410700"/>
          <a:ext cx="147637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809625</xdr:colOff>
      <xdr:row>44</xdr:row>
      <xdr:rowOff>85725</xdr:rowOff>
    </xdr:from>
    <xdr:to>
      <xdr:col>1</xdr:col>
      <xdr:colOff>971550</xdr:colOff>
      <xdr:row>44</xdr:row>
      <xdr:rowOff>266700</xdr:rowOff>
    </xdr:to>
    <xdr:pic>
      <xdr:nvPicPr>
        <xdr:cNvPr id="9" name="Imagen 8">
          <a:extLst>
            <a:ext uri="{FF2B5EF4-FFF2-40B4-BE49-F238E27FC236}">
              <a16:creationId xmlns:a16="http://schemas.microsoft.com/office/drawing/2014/main" id="{67BED1D2-B457-4056-AD26-E3FCFBB93397}"/>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181600" y="9477375"/>
          <a:ext cx="16192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911225</xdr:colOff>
      <xdr:row>16</xdr:row>
      <xdr:rowOff>63500</xdr:rowOff>
    </xdr:from>
    <xdr:to>
      <xdr:col>1</xdr:col>
      <xdr:colOff>1024857</xdr:colOff>
      <xdr:row>16</xdr:row>
      <xdr:rowOff>333375</xdr:rowOff>
    </xdr:to>
    <xdr:pic>
      <xdr:nvPicPr>
        <xdr:cNvPr id="10" name="Imagen 9">
          <a:extLst>
            <a:ext uri="{FF2B5EF4-FFF2-40B4-BE49-F238E27FC236}">
              <a16:creationId xmlns:a16="http://schemas.microsoft.com/office/drawing/2014/main" id="{F332916F-7536-49F1-8C38-A834E273E17A}"/>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283200" y="3111500"/>
          <a:ext cx="113632" cy="269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819150</xdr:colOff>
      <xdr:row>27</xdr:row>
      <xdr:rowOff>23812</xdr:rowOff>
    </xdr:from>
    <xdr:ext cx="65" cy="172227"/>
    <xdr:sp macro="" textlink="">
      <xdr:nvSpPr>
        <xdr:cNvPr id="11" name="CuadroTexto 10">
          <a:extLst>
            <a:ext uri="{FF2B5EF4-FFF2-40B4-BE49-F238E27FC236}">
              <a16:creationId xmlns:a16="http://schemas.microsoft.com/office/drawing/2014/main" id="{B1101646-D901-458A-BFA8-7447E5C30126}"/>
            </a:ext>
          </a:extLst>
        </xdr:cNvPr>
        <xdr:cNvSpPr txBox="1"/>
      </xdr:nvSpPr>
      <xdr:spPr>
        <a:xfrm>
          <a:off x="5191125" y="538638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twoCellAnchor>
    <xdr:from>
      <xdr:col>4</xdr:col>
      <xdr:colOff>1943100</xdr:colOff>
      <xdr:row>45</xdr:row>
      <xdr:rowOff>19050</xdr:rowOff>
    </xdr:from>
    <xdr:to>
      <xdr:col>4</xdr:col>
      <xdr:colOff>3019425</xdr:colOff>
      <xdr:row>45</xdr:row>
      <xdr:rowOff>381000</xdr:rowOff>
    </xdr:to>
    <xdr:pic>
      <xdr:nvPicPr>
        <xdr:cNvPr id="12" name="Imagen 11">
          <a:extLst>
            <a:ext uri="{FF2B5EF4-FFF2-40B4-BE49-F238E27FC236}">
              <a16:creationId xmlns:a16="http://schemas.microsoft.com/office/drawing/2014/main" id="{D86FEEFC-F4D4-425E-9CC3-3E71669BBB81}"/>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963275" y="9801225"/>
          <a:ext cx="1076325"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819150</xdr:colOff>
      <xdr:row>28</xdr:row>
      <xdr:rowOff>23812</xdr:rowOff>
    </xdr:from>
    <xdr:ext cx="65" cy="172227"/>
    <xdr:sp macro="" textlink="">
      <xdr:nvSpPr>
        <xdr:cNvPr id="13" name="CuadroTexto 12">
          <a:extLst>
            <a:ext uri="{FF2B5EF4-FFF2-40B4-BE49-F238E27FC236}">
              <a16:creationId xmlns:a16="http://schemas.microsoft.com/office/drawing/2014/main" id="{96A299EF-6121-4D6B-9CE5-36527E3CE491}"/>
            </a:ext>
          </a:extLst>
        </xdr:cNvPr>
        <xdr:cNvSpPr txBox="1"/>
      </xdr:nvSpPr>
      <xdr:spPr>
        <a:xfrm>
          <a:off x="5191125" y="557688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twoCellAnchor>
    <xdr:from>
      <xdr:col>4</xdr:col>
      <xdr:colOff>1416050</xdr:colOff>
      <xdr:row>37</xdr:row>
      <xdr:rowOff>47625</xdr:rowOff>
    </xdr:from>
    <xdr:to>
      <xdr:col>4</xdr:col>
      <xdr:colOff>2130425</xdr:colOff>
      <xdr:row>38</xdr:row>
      <xdr:rowOff>0</xdr:rowOff>
    </xdr:to>
    <xdr:pic>
      <xdr:nvPicPr>
        <xdr:cNvPr id="14" name="Imagen 13">
          <a:extLst>
            <a:ext uri="{FF2B5EF4-FFF2-40B4-BE49-F238E27FC236}">
              <a16:creationId xmlns:a16="http://schemas.microsoft.com/office/drawing/2014/main" id="{9845FE28-F254-405F-9ABB-8642A462E378}"/>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436225" y="7315200"/>
          <a:ext cx="714375" cy="33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1895475</xdr:colOff>
      <xdr:row>46</xdr:row>
      <xdr:rowOff>38100</xdr:rowOff>
    </xdr:from>
    <xdr:to>
      <xdr:col>4</xdr:col>
      <xdr:colOff>2990850</xdr:colOff>
      <xdr:row>46</xdr:row>
      <xdr:rowOff>371475</xdr:rowOff>
    </xdr:to>
    <xdr:pic>
      <xdr:nvPicPr>
        <xdr:cNvPr id="15" name="Imagen 14">
          <a:extLst>
            <a:ext uri="{FF2B5EF4-FFF2-40B4-BE49-F238E27FC236}">
              <a16:creationId xmlns:a16="http://schemas.microsoft.com/office/drawing/2014/main" id="{9D3D7EA7-BC14-4723-A36C-6A9F7F3A0177}"/>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915650" y="10210800"/>
          <a:ext cx="1095375" cy="33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2105025</xdr:colOff>
      <xdr:row>41</xdr:row>
      <xdr:rowOff>214312</xdr:rowOff>
    </xdr:from>
    <xdr:ext cx="204095" cy="172227"/>
    <mc:AlternateContent xmlns:mc="http://schemas.openxmlformats.org/markup-compatibility/2006" xmlns:a14="http://schemas.microsoft.com/office/drawing/2010/main">
      <mc:Choice Requires="a14">
        <xdr:sp macro="" textlink="">
          <xdr:nvSpPr>
            <xdr:cNvPr id="16" name="CuadroTexto 15">
              <a:extLst>
                <a:ext uri="{FF2B5EF4-FFF2-40B4-BE49-F238E27FC236}">
                  <a16:creationId xmlns:a16="http://schemas.microsoft.com/office/drawing/2014/main" id="{EFED055F-BC1D-4B8F-AA30-57B94BF39378}"/>
                </a:ext>
              </a:extLst>
            </xdr:cNvPr>
            <xdr:cNvSpPr txBox="1"/>
          </xdr:nvSpPr>
          <xdr:spPr>
            <a:xfrm>
              <a:off x="11125200" y="8434387"/>
              <a:ext cx="20409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i="1">
                            <a:latin typeface="Cambria Math" panose="02040503050406030204" pitchFamily="18" charset="0"/>
                          </a:rPr>
                        </m:ctrlPr>
                      </m:sSubPr>
                      <m:e>
                        <m:r>
                          <a:rPr lang="es-CL" sz="1100" i="1">
                            <a:latin typeface="Cambria Math" panose="02040503050406030204" pitchFamily="18" charset="0"/>
                          </a:rPr>
                          <m:t>𝐴</m:t>
                        </m:r>
                      </m:e>
                      <m:sub>
                        <m:r>
                          <a:rPr lang="es-CL" sz="1100" i="1">
                            <a:latin typeface="Cambria Math" panose="02040503050406030204" pitchFamily="18" charset="0"/>
                          </a:rPr>
                          <m:t>𝑈</m:t>
                        </m:r>
                      </m:sub>
                    </m:sSub>
                  </m:oMath>
                </m:oMathPara>
              </a14:m>
              <a:endParaRPr lang="es-CL" sz="1100"/>
            </a:p>
          </xdr:txBody>
        </xdr:sp>
      </mc:Choice>
      <mc:Fallback xmlns="">
        <xdr:sp macro="" textlink="">
          <xdr:nvSpPr>
            <xdr:cNvPr id="16" name="CuadroTexto 15">
              <a:extLst>
                <a:ext uri="{FF2B5EF4-FFF2-40B4-BE49-F238E27FC236}">
                  <a16:creationId xmlns:a16="http://schemas.microsoft.com/office/drawing/2014/main" id="{EFED055F-BC1D-4B8F-AA30-57B94BF39378}"/>
                </a:ext>
              </a:extLst>
            </xdr:cNvPr>
            <xdr:cNvSpPr txBox="1"/>
          </xdr:nvSpPr>
          <xdr:spPr>
            <a:xfrm>
              <a:off x="11125200" y="8434387"/>
              <a:ext cx="20409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L" sz="1100" i="0">
                  <a:latin typeface="Cambria Math" panose="02040503050406030204" pitchFamily="18" charset="0"/>
                </a:rPr>
                <a:t>𝐴_𝑈</a:t>
              </a:r>
              <a:endParaRPr lang="es-CL" sz="1100"/>
            </a:p>
          </xdr:txBody>
        </xdr:sp>
      </mc:Fallback>
    </mc:AlternateContent>
    <xdr:clientData/>
  </xdr:oneCellAnchor>
  <xdr:twoCellAnchor>
    <xdr:from>
      <xdr:col>4</xdr:col>
      <xdr:colOff>327025</xdr:colOff>
      <xdr:row>48</xdr:row>
      <xdr:rowOff>57150</xdr:rowOff>
    </xdr:from>
    <xdr:to>
      <xdr:col>4</xdr:col>
      <xdr:colOff>3241675</xdr:colOff>
      <xdr:row>48</xdr:row>
      <xdr:rowOff>428625</xdr:rowOff>
    </xdr:to>
    <xdr:pic>
      <xdr:nvPicPr>
        <xdr:cNvPr id="17" name="Imagen 16">
          <a:extLst>
            <a:ext uri="{FF2B5EF4-FFF2-40B4-BE49-F238E27FC236}">
              <a16:creationId xmlns:a16="http://schemas.microsoft.com/office/drawing/2014/main" id="{3CAE35A1-3817-48E7-B461-80D9346CEB27}"/>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347200" y="11010900"/>
          <a:ext cx="29146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1542143</xdr:colOff>
      <xdr:row>9</xdr:row>
      <xdr:rowOff>79375</xdr:rowOff>
    </xdr:from>
    <xdr:to>
      <xdr:col>1</xdr:col>
      <xdr:colOff>1555750</xdr:colOff>
      <xdr:row>13</xdr:row>
      <xdr:rowOff>19051</xdr:rowOff>
    </xdr:to>
    <xdr:cxnSp macro="">
      <xdr:nvCxnSpPr>
        <xdr:cNvPr id="18" name="Conector recto de flecha 17">
          <a:extLst>
            <a:ext uri="{FF2B5EF4-FFF2-40B4-BE49-F238E27FC236}">
              <a16:creationId xmlns:a16="http://schemas.microsoft.com/office/drawing/2014/main" id="{EEA5F4B0-7AA5-4EFB-829C-7C4B69406D64}"/>
            </a:ext>
          </a:extLst>
        </xdr:cNvPr>
        <xdr:cNvCxnSpPr/>
      </xdr:nvCxnSpPr>
      <xdr:spPr>
        <a:xfrm flipH="1">
          <a:off x="5914118" y="1793875"/>
          <a:ext cx="13607" cy="701676"/>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3286125</xdr:colOff>
      <xdr:row>6</xdr:row>
      <xdr:rowOff>34017</xdr:rowOff>
    </xdr:from>
    <xdr:to>
      <xdr:col>1</xdr:col>
      <xdr:colOff>343807</xdr:colOff>
      <xdr:row>6</xdr:row>
      <xdr:rowOff>47625</xdr:rowOff>
    </xdr:to>
    <xdr:cxnSp macro="">
      <xdr:nvCxnSpPr>
        <xdr:cNvPr id="19" name="Conector recto de flecha 14">
          <a:extLst>
            <a:ext uri="{FF2B5EF4-FFF2-40B4-BE49-F238E27FC236}">
              <a16:creationId xmlns:a16="http://schemas.microsoft.com/office/drawing/2014/main" id="{A4BBA7B3-6F26-4C3D-8197-166BE95A803B}"/>
            </a:ext>
          </a:extLst>
        </xdr:cNvPr>
        <xdr:cNvCxnSpPr/>
      </xdr:nvCxnSpPr>
      <xdr:spPr>
        <a:xfrm flipV="1">
          <a:off x="3286125" y="1177017"/>
          <a:ext cx="1429657" cy="13608"/>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0</xdr:col>
      <xdr:colOff>3653517</xdr:colOff>
      <xdr:row>4</xdr:row>
      <xdr:rowOff>47625</xdr:rowOff>
    </xdr:from>
    <xdr:ext cx="714374" cy="274947"/>
    <mc:AlternateContent xmlns:mc="http://schemas.openxmlformats.org/markup-compatibility/2006" xmlns:a14="http://schemas.microsoft.com/office/drawing/2010/main">
      <mc:Choice Requires="a14">
        <xdr:sp macro="" textlink="">
          <xdr:nvSpPr>
            <xdr:cNvPr id="20" name="CuadroTexto 29">
              <a:extLst>
                <a:ext uri="{FF2B5EF4-FFF2-40B4-BE49-F238E27FC236}">
                  <a16:creationId xmlns:a16="http://schemas.microsoft.com/office/drawing/2014/main" id="{8CF30E93-420C-4663-9F8C-6BE182391DE2}"/>
                </a:ext>
              </a:extLst>
            </xdr:cNvPr>
            <xdr:cNvSpPr txBox="1"/>
          </xdr:nvSpPr>
          <xdr:spPr>
            <a:xfrm>
              <a:off x="3653517" y="809625"/>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CL" sz="1100" b="0" i="1">
                            <a:latin typeface="Cambria Math" panose="02040503050406030204" pitchFamily="18" charset="0"/>
                          </a:rPr>
                          <m:t>h</m:t>
                        </m:r>
                        <m:r>
                          <a:rPr lang="es-CL" sz="1100" b="0" i="1">
                            <a:latin typeface="Cambria Math" panose="02040503050406030204" pitchFamily="18" charset="0"/>
                          </a:rPr>
                          <m:t>,</m:t>
                        </m:r>
                        <m:r>
                          <a:rPr lang="es-ES" sz="1100" b="0" i="1">
                            <a:latin typeface="Cambria Math"/>
                          </a:rPr>
                          <m:t>𝑖𝑛</m:t>
                        </m:r>
                      </m:sub>
                    </m:sSub>
                  </m:oMath>
                </m:oMathPara>
              </a14:m>
              <a:endParaRPr lang="es-ES" sz="1100"/>
            </a:p>
          </xdr:txBody>
        </xdr:sp>
      </mc:Choice>
      <mc:Fallback xmlns="">
        <xdr:sp macro="" textlink="">
          <xdr:nvSpPr>
            <xdr:cNvPr id="20" name="CuadroTexto 29">
              <a:extLst>
                <a:ext uri="{FF2B5EF4-FFF2-40B4-BE49-F238E27FC236}">
                  <a16:creationId xmlns:a16="http://schemas.microsoft.com/office/drawing/2014/main" id="{8CF30E93-420C-4663-9F8C-6BE182391DE2}"/>
                </a:ext>
              </a:extLst>
            </xdr:cNvPr>
            <xdr:cNvSpPr txBox="1"/>
          </xdr:nvSpPr>
          <xdr:spPr>
            <a:xfrm>
              <a:off x="3653517" y="809625"/>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CL" sz="1100" b="0" i="0">
                  <a:latin typeface="Cambria Math" panose="02040503050406030204" pitchFamily="18" charset="0"/>
                </a:rPr>
                <a:t>ℎ,</a:t>
              </a:r>
              <a:r>
                <a:rPr lang="es-ES" sz="1100" b="0" i="0">
                  <a:latin typeface="Cambria Math"/>
                </a:rPr>
                <a:t>𝑖𝑛</a:t>
              </a:r>
              <a:r>
                <a:rPr lang="es-ES" sz="1100" b="0" i="0">
                  <a:latin typeface="Cambria Math" panose="02040503050406030204" pitchFamily="18" charset="0"/>
                </a:rPr>
                <a:t>)</a:t>
              </a:r>
              <a:endParaRPr lang="es-ES" sz="1100"/>
            </a:p>
          </xdr:txBody>
        </xdr:sp>
      </mc:Fallback>
    </mc:AlternateContent>
    <xdr:clientData/>
  </xdr:oneCellAnchor>
  <xdr:oneCellAnchor>
    <xdr:from>
      <xdr:col>0</xdr:col>
      <xdr:colOff>3621768</xdr:colOff>
      <xdr:row>6</xdr:row>
      <xdr:rowOff>124732</xdr:rowOff>
    </xdr:from>
    <xdr:ext cx="714374" cy="274947"/>
    <mc:AlternateContent xmlns:mc="http://schemas.openxmlformats.org/markup-compatibility/2006" xmlns:a14="http://schemas.microsoft.com/office/drawing/2010/main">
      <mc:Choice Requires="a14">
        <xdr:sp macro="" textlink="">
          <xdr:nvSpPr>
            <xdr:cNvPr id="21" name="CuadroTexto 20">
              <a:extLst>
                <a:ext uri="{FF2B5EF4-FFF2-40B4-BE49-F238E27FC236}">
                  <a16:creationId xmlns:a16="http://schemas.microsoft.com/office/drawing/2014/main" id="{A144E1F7-EF13-4E73-8B71-32D9A04E422F}"/>
                </a:ext>
              </a:extLst>
            </xdr:cNvPr>
            <xdr:cNvSpPr txBox="1"/>
          </xdr:nvSpPr>
          <xdr:spPr>
            <a:xfrm>
              <a:off x="3621768" y="1267732"/>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s-CL" sz="1100" i="1">
                        <a:latin typeface="Cambria Math" panose="02040503050406030204" pitchFamily="18" charset="0"/>
                      </a:rPr>
                      <m:t>𝐶</m:t>
                    </m:r>
                    <m:r>
                      <a:rPr lang="es-CL" sz="1100" b="0" i="1">
                        <a:latin typeface="Cambria Math" panose="02040503050406030204" pitchFamily="18" charset="0"/>
                      </a:rPr>
                      <m:t>𝑖</m:t>
                    </m:r>
                  </m:oMath>
                </m:oMathPara>
              </a14:m>
              <a:endParaRPr lang="es-ES" sz="1100"/>
            </a:p>
          </xdr:txBody>
        </xdr:sp>
      </mc:Choice>
      <mc:Fallback xmlns="">
        <xdr:sp macro="" textlink="">
          <xdr:nvSpPr>
            <xdr:cNvPr id="21" name="CuadroTexto 20">
              <a:extLst>
                <a:ext uri="{FF2B5EF4-FFF2-40B4-BE49-F238E27FC236}">
                  <a16:creationId xmlns:a16="http://schemas.microsoft.com/office/drawing/2014/main" id="{A144E1F7-EF13-4E73-8B71-32D9A04E422F}"/>
                </a:ext>
              </a:extLst>
            </xdr:cNvPr>
            <xdr:cNvSpPr txBox="1"/>
          </xdr:nvSpPr>
          <xdr:spPr>
            <a:xfrm>
              <a:off x="3621768" y="1267732"/>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𝐶</a:t>
              </a:r>
              <a:r>
                <a:rPr lang="es-CL" sz="1100" b="0" i="0">
                  <a:latin typeface="Cambria Math" panose="02040503050406030204" pitchFamily="18" charset="0"/>
                </a:rPr>
                <a:t>𝑖</a:t>
              </a:r>
              <a:endParaRPr lang="es-ES" sz="1100"/>
            </a:p>
          </xdr:txBody>
        </xdr:sp>
      </mc:Fallback>
    </mc:AlternateContent>
    <xdr:clientData/>
  </xdr:oneCellAnchor>
  <xdr:oneCellAnchor>
    <xdr:from>
      <xdr:col>3</xdr:col>
      <xdr:colOff>34018</xdr:colOff>
      <xdr:row>6</xdr:row>
      <xdr:rowOff>34018</xdr:rowOff>
    </xdr:from>
    <xdr:ext cx="714374" cy="274947"/>
    <mc:AlternateContent xmlns:mc="http://schemas.openxmlformats.org/markup-compatibility/2006" xmlns:a14="http://schemas.microsoft.com/office/drawing/2010/main">
      <mc:Choice Requires="a14">
        <xdr:sp macro="" textlink="">
          <xdr:nvSpPr>
            <xdr:cNvPr id="22" name="CuadroTexto 29">
              <a:extLst>
                <a:ext uri="{FF2B5EF4-FFF2-40B4-BE49-F238E27FC236}">
                  <a16:creationId xmlns:a16="http://schemas.microsoft.com/office/drawing/2014/main" id="{2C98120E-530A-4A82-AAEA-CA58C1C99D06}"/>
                </a:ext>
              </a:extLst>
            </xdr:cNvPr>
            <xdr:cNvSpPr txBox="1"/>
          </xdr:nvSpPr>
          <xdr:spPr>
            <a:xfrm>
              <a:off x="7444468" y="1177018"/>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latin typeface="Cambria Math" panose="02040503050406030204" pitchFamily="18" charset="0"/>
                          </a:rPr>
                        </m:ctrlPr>
                      </m:sSubPr>
                      <m:e>
                        <m:r>
                          <a:rPr lang="es-CL" sz="1100" i="1">
                            <a:latin typeface="Cambria Math" panose="02040503050406030204" pitchFamily="18" charset="0"/>
                          </a:rPr>
                          <m:t>𝐶</m:t>
                        </m:r>
                      </m:e>
                      <m:sub>
                        <m:r>
                          <a:rPr lang="es-CL" sz="1100" b="0" i="1">
                            <a:latin typeface="Cambria Math" panose="02040503050406030204" pitchFamily="18" charset="0"/>
                          </a:rPr>
                          <m:t>𝑜𝑢𝑡</m:t>
                        </m:r>
                      </m:sub>
                    </m:sSub>
                  </m:oMath>
                </m:oMathPara>
              </a14:m>
              <a:endParaRPr lang="es-ES" sz="1100"/>
            </a:p>
          </xdr:txBody>
        </xdr:sp>
      </mc:Choice>
      <mc:Fallback xmlns="">
        <xdr:sp macro="" textlink="">
          <xdr:nvSpPr>
            <xdr:cNvPr id="22" name="CuadroTexto 29">
              <a:extLst>
                <a:ext uri="{FF2B5EF4-FFF2-40B4-BE49-F238E27FC236}">
                  <a16:creationId xmlns:a16="http://schemas.microsoft.com/office/drawing/2014/main" id="{2C98120E-530A-4A82-AAEA-CA58C1C99D06}"/>
                </a:ext>
              </a:extLst>
            </xdr:cNvPr>
            <xdr:cNvSpPr txBox="1"/>
          </xdr:nvSpPr>
          <xdr:spPr>
            <a:xfrm>
              <a:off x="7444468" y="1177018"/>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𝐶</a:t>
              </a:r>
              <a:r>
                <a:rPr lang="es-CL" sz="1100" b="0" i="0">
                  <a:latin typeface="Cambria Math" panose="02040503050406030204" pitchFamily="18" charset="0"/>
                </a:rPr>
                <a:t>_𝑜𝑢𝑡</a:t>
              </a:r>
              <a:endParaRPr lang="es-ES" sz="1100"/>
            </a:p>
          </xdr:txBody>
        </xdr:sp>
      </mc:Fallback>
    </mc:AlternateContent>
    <xdr:clientData/>
  </xdr:oneCellAnchor>
  <xdr:oneCellAnchor>
    <xdr:from>
      <xdr:col>2</xdr:col>
      <xdr:colOff>1120322</xdr:colOff>
      <xdr:row>3</xdr:row>
      <xdr:rowOff>176893</xdr:rowOff>
    </xdr:from>
    <xdr:ext cx="714374" cy="274947"/>
    <mc:AlternateContent xmlns:mc="http://schemas.openxmlformats.org/markup-compatibility/2006" xmlns:a14="http://schemas.microsoft.com/office/drawing/2010/main">
      <mc:Choice Requires="a14">
        <xdr:sp macro="" textlink="">
          <xdr:nvSpPr>
            <xdr:cNvPr id="23" name="CuadroTexto 29">
              <a:extLst>
                <a:ext uri="{FF2B5EF4-FFF2-40B4-BE49-F238E27FC236}">
                  <a16:creationId xmlns:a16="http://schemas.microsoft.com/office/drawing/2014/main" id="{40B44156-97D1-48CC-B5A4-DEE4479958E5}"/>
                </a:ext>
              </a:extLst>
            </xdr:cNvPr>
            <xdr:cNvSpPr txBox="1"/>
          </xdr:nvSpPr>
          <xdr:spPr>
            <a:xfrm>
              <a:off x="7387772" y="748393"/>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CL" sz="1100" b="0" i="1">
                            <a:latin typeface="Cambria Math" panose="02040503050406030204" pitchFamily="18" charset="0"/>
                          </a:rPr>
                          <m:t>h</m:t>
                        </m:r>
                        <m:r>
                          <a:rPr lang="es-CL" sz="1100" b="0" i="1">
                            <a:latin typeface="Cambria Math" panose="02040503050406030204" pitchFamily="18" charset="0"/>
                          </a:rPr>
                          <m:t>, </m:t>
                        </m:r>
                        <m:r>
                          <a:rPr lang="es-ES" sz="1100" b="0" i="1">
                            <a:latin typeface="Cambria Math"/>
                          </a:rPr>
                          <m:t>𝑜𝑢𝑡</m:t>
                        </m:r>
                      </m:sub>
                    </m:sSub>
                  </m:oMath>
                </m:oMathPara>
              </a14:m>
              <a:endParaRPr lang="es-ES" sz="1100"/>
            </a:p>
          </xdr:txBody>
        </xdr:sp>
      </mc:Choice>
      <mc:Fallback xmlns="">
        <xdr:sp macro="" textlink="">
          <xdr:nvSpPr>
            <xdr:cNvPr id="23" name="CuadroTexto 29">
              <a:extLst>
                <a:ext uri="{FF2B5EF4-FFF2-40B4-BE49-F238E27FC236}">
                  <a16:creationId xmlns:a16="http://schemas.microsoft.com/office/drawing/2014/main" id="{40B44156-97D1-48CC-B5A4-DEE4479958E5}"/>
                </a:ext>
              </a:extLst>
            </xdr:cNvPr>
            <xdr:cNvSpPr txBox="1"/>
          </xdr:nvSpPr>
          <xdr:spPr>
            <a:xfrm>
              <a:off x="7387772" y="748393"/>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CL" sz="1100" b="0" i="0">
                  <a:latin typeface="Cambria Math" panose="02040503050406030204" pitchFamily="18" charset="0"/>
                </a:rPr>
                <a:t>ℎ, </a:t>
              </a:r>
              <a:r>
                <a:rPr lang="es-ES" sz="1100" b="0" i="0">
                  <a:latin typeface="Cambria Math"/>
                </a:rPr>
                <a:t>𝑜𝑢𝑡</a:t>
              </a:r>
              <a:r>
                <a:rPr lang="es-ES" sz="1100" b="0" i="0">
                  <a:latin typeface="Cambria Math" panose="02040503050406030204" pitchFamily="18" charset="0"/>
                </a:rPr>
                <a:t>)</a:t>
              </a:r>
              <a:endParaRPr lang="es-ES" sz="1100"/>
            </a:p>
          </xdr:txBody>
        </xdr:sp>
      </mc:Fallback>
    </mc:AlternateContent>
    <xdr:clientData/>
  </xdr:oneCellAnchor>
  <xdr:oneCellAnchor>
    <xdr:from>
      <xdr:col>1</xdr:col>
      <xdr:colOff>755196</xdr:colOff>
      <xdr:row>9</xdr:row>
      <xdr:rowOff>140607</xdr:rowOff>
    </xdr:from>
    <xdr:ext cx="714374" cy="274947"/>
    <mc:AlternateContent xmlns:mc="http://schemas.openxmlformats.org/markup-compatibility/2006" xmlns:a14="http://schemas.microsoft.com/office/drawing/2010/main">
      <mc:Choice Requires="a14">
        <xdr:sp macro="" textlink="">
          <xdr:nvSpPr>
            <xdr:cNvPr id="24" name="CuadroTexto 29">
              <a:extLst>
                <a:ext uri="{FF2B5EF4-FFF2-40B4-BE49-F238E27FC236}">
                  <a16:creationId xmlns:a16="http://schemas.microsoft.com/office/drawing/2014/main" id="{8E54B5C6-EFF2-4066-89FA-EC322702BE3E}"/>
                </a:ext>
              </a:extLst>
            </xdr:cNvPr>
            <xdr:cNvSpPr txBox="1"/>
          </xdr:nvSpPr>
          <xdr:spPr>
            <a:xfrm>
              <a:off x="5127171" y="1855107"/>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latin typeface="Cambria Math" panose="02040503050406030204" pitchFamily="18" charset="0"/>
                          </a:rPr>
                        </m:ctrlPr>
                      </m:sSubPr>
                      <m:e>
                        <m:r>
                          <a:rPr lang="es-CL" sz="1100" i="1">
                            <a:latin typeface="Cambria Math" panose="02040503050406030204" pitchFamily="18" charset="0"/>
                          </a:rPr>
                          <m:t>𝐶</m:t>
                        </m:r>
                      </m:e>
                      <m:sub>
                        <m:r>
                          <a:rPr lang="es-CL" sz="1100" b="0" i="1">
                            <a:latin typeface="Cambria Math" panose="02040503050406030204" pitchFamily="18" charset="0"/>
                          </a:rPr>
                          <m:t>𝑟𝑒𝑡</m:t>
                        </m:r>
                      </m:sub>
                    </m:sSub>
                  </m:oMath>
                </m:oMathPara>
              </a14:m>
              <a:endParaRPr lang="es-ES" sz="1100"/>
            </a:p>
          </xdr:txBody>
        </xdr:sp>
      </mc:Choice>
      <mc:Fallback xmlns="">
        <xdr:sp macro="" textlink="">
          <xdr:nvSpPr>
            <xdr:cNvPr id="24" name="CuadroTexto 29">
              <a:extLst>
                <a:ext uri="{FF2B5EF4-FFF2-40B4-BE49-F238E27FC236}">
                  <a16:creationId xmlns:a16="http://schemas.microsoft.com/office/drawing/2014/main" id="{8E54B5C6-EFF2-4066-89FA-EC322702BE3E}"/>
                </a:ext>
              </a:extLst>
            </xdr:cNvPr>
            <xdr:cNvSpPr txBox="1"/>
          </xdr:nvSpPr>
          <xdr:spPr>
            <a:xfrm>
              <a:off x="5127171" y="1855107"/>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𝐶</a:t>
              </a:r>
              <a:r>
                <a:rPr lang="es-CL" sz="1100" b="0" i="0">
                  <a:latin typeface="Cambria Math" panose="02040503050406030204" pitchFamily="18" charset="0"/>
                </a:rPr>
                <a:t>_𝑟𝑒𝑡</a:t>
              </a:r>
              <a:endParaRPr lang="es-ES" sz="1100"/>
            </a:p>
          </xdr:txBody>
        </xdr:sp>
      </mc:Fallback>
    </mc:AlternateContent>
    <xdr:clientData/>
  </xdr:oneCellAnchor>
  <xdr:oneCellAnchor>
    <xdr:from>
      <xdr:col>1</xdr:col>
      <xdr:colOff>1694090</xdr:colOff>
      <xdr:row>9</xdr:row>
      <xdr:rowOff>133803</xdr:rowOff>
    </xdr:from>
    <xdr:ext cx="714374" cy="264560"/>
    <mc:AlternateContent xmlns:mc="http://schemas.openxmlformats.org/markup-compatibility/2006" xmlns:a14="http://schemas.microsoft.com/office/drawing/2010/main">
      <mc:Choice Requires="a14">
        <xdr:sp macro="" textlink="">
          <xdr:nvSpPr>
            <xdr:cNvPr id="25" name="CuadroTexto 16">
              <a:extLst>
                <a:ext uri="{FF2B5EF4-FFF2-40B4-BE49-F238E27FC236}">
                  <a16:creationId xmlns:a16="http://schemas.microsoft.com/office/drawing/2014/main" id="{F09DA5B7-01F5-4BEE-92D1-2477C59BBF0F}"/>
                </a:ext>
              </a:extLst>
            </xdr:cNvPr>
            <xdr:cNvSpPr txBox="1"/>
          </xdr:nvSpPr>
          <xdr:spPr>
            <a:xfrm>
              <a:off x="6066065" y="1848303"/>
              <a:ext cx="7143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ES" sz="1100" b="0" i="0">
                  <a:latin typeface="+mn-lt"/>
                </a:rPr>
                <a:t>F</a:t>
              </a:r>
              <a14:m>
                <m:oMath xmlns:m="http://schemas.openxmlformats.org/officeDocument/2006/math">
                  <m:r>
                    <a:rPr lang="es-ES" sz="800" b="0" i="1">
                      <a:latin typeface="Cambria Math" panose="02040503050406030204" pitchFamily="18" charset="0"/>
                    </a:rPr>
                    <m:t>,</m:t>
                  </m:r>
                  <m:r>
                    <m:rPr>
                      <m:sty m:val="p"/>
                    </m:rPr>
                    <a:rPr lang="es-ES" sz="800" b="0" i="0">
                      <a:latin typeface="Cambria Math"/>
                    </a:rPr>
                    <m:t>ret</m:t>
                  </m:r>
                </m:oMath>
              </a14:m>
              <a:endParaRPr lang="es-ES" sz="800" b="0"/>
            </a:p>
          </xdr:txBody>
        </xdr:sp>
      </mc:Choice>
      <mc:Fallback xmlns="">
        <xdr:sp macro="" textlink="">
          <xdr:nvSpPr>
            <xdr:cNvPr id="25" name="CuadroTexto 16">
              <a:extLst>
                <a:ext uri="{FF2B5EF4-FFF2-40B4-BE49-F238E27FC236}">
                  <a16:creationId xmlns:a16="http://schemas.microsoft.com/office/drawing/2014/main" id="{F09DA5B7-01F5-4BEE-92D1-2477C59BBF0F}"/>
                </a:ext>
              </a:extLst>
            </xdr:cNvPr>
            <xdr:cNvSpPr txBox="1"/>
          </xdr:nvSpPr>
          <xdr:spPr>
            <a:xfrm>
              <a:off x="6066065" y="1848303"/>
              <a:ext cx="7143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ES" sz="1100" b="0" i="0">
                  <a:latin typeface="+mn-lt"/>
                </a:rPr>
                <a:t>F</a:t>
              </a:r>
              <a:r>
                <a:rPr lang="es-ES" sz="800" b="0" i="0">
                  <a:latin typeface="Cambria Math" panose="02040503050406030204" pitchFamily="18" charset="0"/>
                </a:rPr>
                <a:t>,</a:t>
              </a:r>
              <a:r>
                <a:rPr lang="es-ES" sz="800" b="0" i="0">
                  <a:latin typeface="Cambria Math"/>
                </a:rPr>
                <a:t>ret</a:t>
              </a:r>
              <a:endParaRPr lang="es-ES" sz="800" b="0"/>
            </a:p>
          </xdr:txBody>
        </xdr:sp>
      </mc:Fallback>
    </mc:AlternateContent>
    <xdr:clientData/>
  </xdr:oneCellAnchor>
  <xdr:twoCellAnchor>
    <xdr:from>
      <xdr:col>2</xdr:col>
      <xdr:colOff>968375</xdr:colOff>
      <xdr:row>5</xdr:row>
      <xdr:rowOff>158750</xdr:rowOff>
    </xdr:from>
    <xdr:to>
      <xdr:col>3</xdr:col>
      <xdr:colOff>1248682</xdr:colOff>
      <xdr:row>5</xdr:row>
      <xdr:rowOff>172358</xdr:rowOff>
    </xdr:to>
    <xdr:cxnSp macro="">
      <xdr:nvCxnSpPr>
        <xdr:cNvPr id="26" name="Conector recto de flecha 14">
          <a:extLst>
            <a:ext uri="{FF2B5EF4-FFF2-40B4-BE49-F238E27FC236}">
              <a16:creationId xmlns:a16="http://schemas.microsoft.com/office/drawing/2014/main" id="{0C83C352-4F55-4127-BEEB-81841D485E19}"/>
            </a:ext>
          </a:extLst>
        </xdr:cNvPr>
        <xdr:cNvCxnSpPr/>
      </xdr:nvCxnSpPr>
      <xdr:spPr>
        <a:xfrm flipV="1">
          <a:off x="7235825" y="1111250"/>
          <a:ext cx="1423307" cy="13608"/>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8</xdr:col>
      <xdr:colOff>395287</xdr:colOff>
      <xdr:row>24</xdr:row>
      <xdr:rowOff>104775</xdr:rowOff>
    </xdr:from>
    <xdr:ext cx="65" cy="172227"/>
    <xdr:sp macro="" textlink="">
      <xdr:nvSpPr>
        <xdr:cNvPr id="27" name="CuadroTexto 26">
          <a:extLst>
            <a:ext uri="{FF2B5EF4-FFF2-40B4-BE49-F238E27FC236}">
              <a16:creationId xmlns:a16="http://schemas.microsoft.com/office/drawing/2014/main" id="{4AFC0E3A-36A1-4F3E-8B68-4155E3646A11}"/>
            </a:ext>
          </a:extLst>
        </xdr:cNvPr>
        <xdr:cNvSpPr txBox="1"/>
      </xdr:nvSpPr>
      <xdr:spPr>
        <a:xfrm>
          <a:off x="27103387" y="35623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11</xdr:col>
      <xdr:colOff>990600</xdr:colOff>
      <xdr:row>10</xdr:row>
      <xdr:rowOff>9525</xdr:rowOff>
    </xdr:from>
    <xdr:to>
      <xdr:col>11</xdr:col>
      <xdr:colOff>1695450</xdr:colOff>
      <xdr:row>10</xdr:row>
      <xdr:rowOff>9525</xdr:rowOff>
    </xdr:to>
    <xdr:cxnSp macro="">
      <xdr:nvCxnSpPr>
        <xdr:cNvPr id="28" name="Conector recto de flecha 27">
          <a:extLst>
            <a:ext uri="{FF2B5EF4-FFF2-40B4-BE49-F238E27FC236}">
              <a16:creationId xmlns:a16="http://schemas.microsoft.com/office/drawing/2014/main" id="{126C0754-0A56-4AD1-82AB-2E1B3AAEDD53}"/>
            </a:ext>
          </a:extLst>
        </xdr:cNvPr>
        <xdr:cNvCxnSpPr/>
      </xdr:nvCxnSpPr>
      <xdr:spPr>
        <a:xfrm>
          <a:off x="30641925" y="1914525"/>
          <a:ext cx="0" cy="0"/>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777875</xdr:colOff>
      <xdr:row>1</xdr:row>
      <xdr:rowOff>63500</xdr:rowOff>
    </xdr:from>
    <xdr:to>
      <xdr:col>2</xdr:col>
      <xdr:colOff>476250</xdr:colOff>
      <xdr:row>9</xdr:row>
      <xdr:rowOff>0</xdr:rowOff>
    </xdr:to>
    <xdr:sp macro="" textlink="">
      <xdr:nvSpPr>
        <xdr:cNvPr id="29" name="Rectángulo: esquinas superiores cortadas 28">
          <a:extLst>
            <a:ext uri="{FF2B5EF4-FFF2-40B4-BE49-F238E27FC236}">
              <a16:creationId xmlns:a16="http://schemas.microsoft.com/office/drawing/2014/main" id="{3DD7E68C-DE56-4A0D-AACD-AD56FE5178A7}"/>
            </a:ext>
          </a:extLst>
        </xdr:cNvPr>
        <xdr:cNvSpPr/>
      </xdr:nvSpPr>
      <xdr:spPr>
        <a:xfrm rot="10800000">
          <a:off x="5149850" y="254000"/>
          <a:ext cx="1593850" cy="1460500"/>
        </a:xfrm>
        <a:prstGeom prst="snip2Same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CL" sz="1100"/>
        </a:p>
      </xdr:txBody>
    </xdr:sp>
    <xdr:clientData/>
  </xdr:twoCellAnchor>
  <xdr:twoCellAnchor>
    <xdr:from>
      <xdr:col>1</xdr:col>
      <xdr:colOff>933450</xdr:colOff>
      <xdr:row>4</xdr:row>
      <xdr:rowOff>0</xdr:rowOff>
    </xdr:from>
    <xdr:to>
      <xdr:col>2</xdr:col>
      <xdr:colOff>419100</xdr:colOff>
      <xdr:row>6</xdr:row>
      <xdr:rowOff>66675</xdr:rowOff>
    </xdr:to>
    <xdr:sp macro="" textlink="">
      <xdr:nvSpPr>
        <xdr:cNvPr id="30" name="CuadroTexto 29">
          <a:extLst>
            <a:ext uri="{FF2B5EF4-FFF2-40B4-BE49-F238E27FC236}">
              <a16:creationId xmlns:a16="http://schemas.microsoft.com/office/drawing/2014/main" id="{3CE9E59F-CF23-46C0-A686-6102C7952D83}"/>
            </a:ext>
          </a:extLst>
        </xdr:cNvPr>
        <xdr:cNvSpPr txBox="1"/>
      </xdr:nvSpPr>
      <xdr:spPr>
        <a:xfrm>
          <a:off x="5305425" y="762000"/>
          <a:ext cx="1381125"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L" sz="1100"/>
            <a:t>Sedimentador</a:t>
          </a:r>
          <a:r>
            <a:rPr lang="es-CL" sz="1100" baseline="0"/>
            <a:t> Alta tasa</a:t>
          </a:r>
        </a:p>
        <a:p>
          <a:endParaRPr lang="es-CL" sz="1100"/>
        </a:p>
      </xdr:txBody>
    </xdr:sp>
    <xdr:clientData/>
  </xdr:twoCellAnchor>
  <xdr:oneCellAnchor>
    <xdr:from>
      <xdr:col>8</xdr:col>
      <xdr:colOff>395287</xdr:colOff>
      <xdr:row>34</xdr:row>
      <xdr:rowOff>104775</xdr:rowOff>
    </xdr:from>
    <xdr:ext cx="65" cy="172227"/>
    <xdr:sp macro="" textlink="">
      <xdr:nvSpPr>
        <xdr:cNvPr id="31" name="CuadroTexto 30">
          <a:extLst>
            <a:ext uri="{FF2B5EF4-FFF2-40B4-BE49-F238E27FC236}">
              <a16:creationId xmlns:a16="http://schemas.microsoft.com/office/drawing/2014/main" id="{981992F8-52EF-447E-87F9-2456422F3876}"/>
            </a:ext>
          </a:extLst>
        </xdr:cNvPr>
        <xdr:cNvSpPr txBox="1"/>
      </xdr:nvSpPr>
      <xdr:spPr>
        <a:xfrm>
          <a:off x="22083712" y="4895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oneCellAnchor>
    <xdr:from>
      <xdr:col>8</xdr:col>
      <xdr:colOff>395287</xdr:colOff>
      <xdr:row>44</xdr:row>
      <xdr:rowOff>104775</xdr:rowOff>
    </xdr:from>
    <xdr:ext cx="65" cy="172227"/>
    <xdr:sp macro="" textlink="">
      <xdr:nvSpPr>
        <xdr:cNvPr id="32" name="CuadroTexto 31">
          <a:extLst>
            <a:ext uri="{FF2B5EF4-FFF2-40B4-BE49-F238E27FC236}">
              <a16:creationId xmlns:a16="http://schemas.microsoft.com/office/drawing/2014/main" id="{49F40686-5F15-485B-8004-9E5D304F2117}"/>
            </a:ext>
          </a:extLst>
        </xdr:cNvPr>
        <xdr:cNvSpPr txBox="1"/>
      </xdr:nvSpPr>
      <xdr:spPr>
        <a:xfrm>
          <a:off x="22083712" y="4895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0</xdr:colOff>
      <xdr:row>18</xdr:row>
      <xdr:rowOff>23812</xdr:rowOff>
    </xdr:from>
    <xdr:ext cx="65" cy="172227"/>
    <xdr:sp macro="" textlink="">
      <xdr:nvSpPr>
        <xdr:cNvPr id="2" name="CuadroTexto 1">
          <a:extLst>
            <a:ext uri="{FF2B5EF4-FFF2-40B4-BE49-F238E27FC236}">
              <a16:creationId xmlns:a16="http://schemas.microsoft.com/office/drawing/2014/main" id="{E3744B70-03B1-4665-88D4-9D70A143F562}"/>
            </a:ext>
          </a:extLst>
        </xdr:cNvPr>
        <xdr:cNvSpPr txBox="1"/>
      </xdr:nvSpPr>
      <xdr:spPr>
        <a:xfrm>
          <a:off x="3314700" y="34528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1</xdr:col>
      <xdr:colOff>819150</xdr:colOff>
      <xdr:row>20</xdr:row>
      <xdr:rowOff>23812</xdr:rowOff>
    </xdr:from>
    <xdr:ext cx="65" cy="172227"/>
    <xdr:sp macro="" textlink="">
      <xdr:nvSpPr>
        <xdr:cNvPr id="3" name="CuadroTexto 2">
          <a:extLst>
            <a:ext uri="{FF2B5EF4-FFF2-40B4-BE49-F238E27FC236}">
              <a16:creationId xmlns:a16="http://schemas.microsoft.com/office/drawing/2014/main" id="{04246EFC-3847-4156-A8D0-609C5456D811}"/>
            </a:ext>
          </a:extLst>
        </xdr:cNvPr>
        <xdr:cNvSpPr txBox="1"/>
      </xdr:nvSpPr>
      <xdr:spPr>
        <a:xfrm>
          <a:off x="3181350" y="38338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1</xdr:col>
      <xdr:colOff>819150</xdr:colOff>
      <xdr:row>21</xdr:row>
      <xdr:rowOff>23812</xdr:rowOff>
    </xdr:from>
    <xdr:ext cx="65" cy="172227"/>
    <xdr:sp macro="" textlink="">
      <xdr:nvSpPr>
        <xdr:cNvPr id="4" name="CuadroTexto 3">
          <a:extLst>
            <a:ext uri="{FF2B5EF4-FFF2-40B4-BE49-F238E27FC236}">
              <a16:creationId xmlns:a16="http://schemas.microsoft.com/office/drawing/2014/main" id="{2E9DE5C6-1C34-41BF-B758-2E2FD600A10D}"/>
            </a:ext>
          </a:extLst>
        </xdr:cNvPr>
        <xdr:cNvSpPr txBox="1"/>
      </xdr:nvSpPr>
      <xdr:spPr>
        <a:xfrm>
          <a:off x="3181350" y="40243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2</xdr:col>
      <xdr:colOff>0</xdr:colOff>
      <xdr:row>32</xdr:row>
      <xdr:rowOff>138112</xdr:rowOff>
    </xdr:from>
    <xdr:ext cx="65" cy="172227"/>
    <xdr:sp macro="" textlink="">
      <xdr:nvSpPr>
        <xdr:cNvPr id="5" name="CuadroTexto 4">
          <a:extLst>
            <a:ext uri="{FF2B5EF4-FFF2-40B4-BE49-F238E27FC236}">
              <a16:creationId xmlns:a16="http://schemas.microsoft.com/office/drawing/2014/main" id="{0367550C-5C50-4B1D-8F77-E467286ADE2C}"/>
            </a:ext>
          </a:extLst>
        </xdr:cNvPr>
        <xdr:cNvSpPr txBox="1"/>
      </xdr:nvSpPr>
      <xdr:spPr>
        <a:xfrm>
          <a:off x="3314700" y="62341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b="0"/>
        </a:p>
      </xdr:txBody>
    </xdr:sp>
    <xdr:clientData/>
  </xdr:oneCellAnchor>
  <xdr:oneCellAnchor>
    <xdr:from>
      <xdr:col>2</xdr:col>
      <xdr:colOff>0</xdr:colOff>
      <xdr:row>17</xdr:row>
      <xdr:rowOff>23812</xdr:rowOff>
    </xdr:from>
    <xdr:ext cx="65" cy="172227"/>
    <xdr:sp macro="" textlink="">
      <xdr:nvSpPr>
        <xdr:cNvPr id="7" name="CuadroTexto 6">
          <a:extLst>
            <a:ext uri="{FF2B5EF4-FFF2-40B4-BE49-F238E27FC236}">
              <a16:creationId xmlns:a16="http://schemas.microsoft.com/office/drawing/2014/main" id="{90E1ED7E-C94B-4D36-90BC-4923F18AD447}"/>
            </a:ext>
          </a:extLst>
        </xdr:cNvPr>
        <xdr:cNvSpPr txBox="1"/>
      </xdr:nvSpPr>
      <xdr:spPr>
        <a:xfrm>
          <a:off x="3314700" y="32623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L" sz="1100"/>
        </a:p>
      </xdr:txBody>
    </xdr:sp>
    <xdr:clientData/>
  </xdr:oneCellAnchor>
  <xdr:oneCellAnchor>
    <xdr:from>
      <xdr:col>9</xdr:col>
      <xdr:colOff>395287</xdr:colOff>
      <xdr:row>14</xdr:row>
      <xdr:rowOff>104775</xdr:rowOff>
    </xdr:from>
    <xdr:ext cx="65" cy="172227"/>
    <xdr:sp macro="" textlink="">
      <xdr:nvSpPr>
        <xdr:cNvPr id="8" name="CuadroTexto 7">
          <a:extLst>
            <a:ext uri="{FF2B5EF4-FFF2-40B4-BE49-F238E27FC236}">
              <a16:creationId xmlns:a16="http://schemas.microsoft.com/office/drawing/2014/main" id="{AC0BBDA8-E99C-48BC-93A3-D5E660217EAB}"/>
            </a:ext>
          </a:extLst>
        </xdr:cNvPr>
        <xdr:cNvSpPr txBox="1"/>
      </xdr:nvSpPr>
      <xdr:spPr>
        <a:xfrm>
          <a:off x="20340637" y="2771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3</xdr:col>
      <xdr:colOff>966107</xdr:colOff>
      <xdr:row>8</xdr:row>
      <xdr:rowOff>54430</xdr:rowOff>
    </xdr:from>
    <xdr:to>
      <xdr:col>4</xdr:col>
      <xdr:colOff>0</xdr:colOff>
      <xdr:row>12</xdr:row>
      <xdr:rowOff>13607</xdr:rowOff>
    </xdr:to>
    <xdr:cxnSp macro="">
      <xdr:nvCxnSpPr>
        <xdr:cNvPr id="10" name="Conector recto de flecha 17">
          <a:extLst>
            <a:ext uri="{FF2B5EF4-FFF2-40B4-BE49-F238E27FC236}">
              <a16:creationId xmlns:a16="http://schemas.microsoft.com/office/drawing/2014/main" id="{BC6E2CE2-585D-48EB-8FA2-3B708CE1BBA8}"/>
            </a:ext>
          </a:extLst>
        </xdr:cNvPr>
        <xdr:cNvCxnSpPr/>
      </xdr:nvCxnSpPr>
      <xdr:spPr>
        <a:xfrm flipH="1">
          <a:off x="5261882" y="1578430"/>
          <a:ext cx="14968" cy="721177"/>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394607</xdr:colOff>
      <xdr:row>4</xdr:row>
      <xdr:rowOff>95250</xdr:rowOff>
    </xdr:from>
    <xdr:to>
      <xdr:col>2</xdr:col>
      <xdr:colOff>858611</xdr:colOff>
      <xdr:row>4</xdr:row>
      <xdr:rowOff>95250</xdr:rowOff>
    </xdr:to>
    <xdr:cxnSp macro="">
      <xdr:nvCxnSpPr>
        <xdr:cNvPr id="11" name="Conector recto de flecha 14">
          <a:extLst>
            <a:ext uri="{FF2B5EF4-FFF2-40B4-BE49-F238E27FC236}">
              <a16:creationId xmlns:a16="http://schemas.microsoft.com/office/drawing/2014/main" id="{30261B40-DE18-4084-A29E-18D825EC1DE6}"/>
            </a:ext>
          </a:extLst>
        </xdr:cNvPr>
        <xdr:cNvCxnSpPr/>
      </xdr:nvCxnSpPr>
      <xdr:spPr>
        <a:xfrm>
          <a:off x="2756807" y="857250"/>
          <a:ext cx="1416504" cy="0"/>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1023258</xdr:colOff>
      <xdr:row>4</xdr:row>
      <xdr:rowOff>70755</xdr:rowOff>
    </xdr:from>
    <xdr:to>
      <xdr:col>4</xdr:col>
      <xdr:colOff>2154011</xdr:colOff>
      <xdr:row>4</xdr:row>
      <xdr:rowOff>70755</xdr:rowOff>
    </xdr:to>
    <xdr:cxnSp macro="">
      <xdr:nvCxnSpPr>
        <xdr:cNvPr id="12" name="Conector recto de flecha 14">
          <a:extLst>
            <a:ext uri="{FF2B5EF4-FFF2-40B4-BE49-F238E27FC236}">
              <a16:creationId xmlns:a16="http://schemas.microsoft.com/office/drawing/2014/main" id="{70106E79-952D-456E-B1C3-706C751B5CDF}"/>
            </a:ext>
          </a:extLst>
        </xdr:cNvPr>
        <xdr:cNvCxnSpPr/>
      </xdr:nvCxnSpPr>
      <xdr:spPr>
        <a:xfrm>
          <a:off x="6300108" y="832755"/>
          <a:ext cx="1130753" cy="0"/>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xdr:col>
      <xdr:colOff>911678</xdr:colOff>
      <xdr:row>2</xdr:row>
      <xdr:rowOff>149679</xdr:rowOff>
    </xdr:from>
    <xdr:ext cx="714374" cy="274947"/>
    <mc:AlternateContent xmlns:mc="http://schemas.openxmlformats.org/markup-compatibility/2006" xmlns:a14="http://schemas.microsoft.com/office/drawing/2010/main">
      <mc:Choice Requires="a14">
        <xdr:sp macro="" textlink="">
          <xdr:nvSpPr>
            <xdr:cNvPr id="13" name="CuadroTexto 29">
              <a:extLst>
                <a:ext uri="{FF2B5EF4-FFF2-40B4-BE49-F238E27FC236}">
                  <a16:creationId xmlns:a16="http://schemas.microsoft.com/office/drawing/2014/main" id="{EA7C4EB7-607B-4BDD-944C-C65B9DE287EC}"/>
                </a:ext>
              </a:extLst>
            </xdr:cNvPr>
            <xdr:cNvSpPr txBox="1"/>
          </xdr:nvSpPr>
          <xdr:spPr>
            <a:xfrm>
              <a:off x="3273878" y="530679"/>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ES" sz="1100" b="0" i="1">
                            <a:latin typeface="Cambria Math"/>
                          </a:rPr>
                          <m:t>𝑖𝑛</m:t>
                        </m:r>
                      </m:sub>
                    </m:sSub>
                  </m:oMath>
                </m:oMathPara>
              </a14:m>
              <a:endParaRPr lang="es-ES" sz="1100"/>
            </a:p>
          </xdr:txBody>
        </xdr:sp>
      </mc:Choice>
      <mc:Fallback xmlns="">
        <xdr:sp macro="" textlink="">
          <xdr:nvSpPr>
            <xdr:cNvPr id="13" name="CuadroTexto 29">
              <a:extLst>
                <a:ext uri="{FF2B5EF4-FFF2-40B4-BE49-F238E27FC236}">
                  <a16:creationId xmlns:a16="http://schemas.microsoft.com/office/drawing/2014/main" id="{EA7C4EB7-607B-4BDD-944C-C65B9DE287EC}"/>
                </a:ext>
              </a:extLst>
            </xdr:cNvPr>
            <xdr:cNvSpPr txBox="1"/>
          </xdr:nvSpPr>
          <xdr:spPr>
            <a:xfrm>
              <a:off x="3273878" y="530679"/>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ES" sz="1100" b="0" i="0">
                  <a:latin typeface="Cambria Math"/>
                </a:rPr>
                <a:t>𝑖𝑛</a:t>
              </a:r>
              <a:endParaRPr lang="es-ES" sz="1100"/>
            </a:p>
          </xdr:txBody>
        </xdr:sp>
      </mc:Fallback>
    </mc:AlternateContent>
    <xdr:clientData/>
  </xdr:oneCellAnchor>
  <xdr:oneCellAnchor>
    <xdr:from>
      <xdr:col>1</xdr:col>
      <xdr:colOff>830036</xdr:colOff>
      <xdr:row>4</xdr:row>
      <xdr:rowOff>190499</xdr:rowOff>
    </xdr:from>
    <xdr:ext cx="714374" cy="274947"/>
    <mc:AlternateContent xmlns:mc="http://schemas.openxmlformats.org/markup-compatibility/2006" xmlns:a14="http://schemas.microsoft.com/office/drawing/2010/main">
      <mc:Choice Requires="a14">
        <xdr:sp macro="" textlink="">
          <xdr:nvSpPr>
            <xdr:cNvPr id="14" name="CuadroTexto 13">
              <a:extLst>
                <a:ext uri="{FF2B5EF4-FFF2-40B4-BE49-F238E27FC236}">
                  <a16:creationId xmlns:a16="http://schemas.microsoft.com/office/drawing/2014/main" id="{A65B210C-3CA6-46AB-B0C0-799825D81893}"/>
                </a:ext>
              </a:extLst>
            </xdr:cNvPr>
            <xdr:cNvSpPr txBox="1"/>
          </xdr:nvSpPr>
          <xdr:spPr>
            <a:xfrm>
              <a:off x="3192236" y="952499"/>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s-CL" sz="1100" i="1">
                        <a:latin typeface="Cambria Math" panose="02040503050406030204" pitchFamily="18" charset="0"/>
                      </a:rPr>
                      <m:t>𝐶</m:t>
                    </m:r>
                    <m:r>
                      <a:rPr lang="es-CL" sz="1100" b="0" i="1">
                        <a:latin typeface="Cambria Math" panose="02040503050406030204" pitchFamily="18" charset="0"/>
                      </a:rPr>
                      <m:t>𝑖</m:t>
                    </m:r>
                  </m:oMath>
                </m:oMathPara>
              </a14:m>
              <a:endParaRPr lang="es-ES" sz="1100"/>
            </a:p>
          </xdr:txBody>
        </xdr:sp>
      </mc:Choice>
      <mc:Fallback xmlns="">
        <xdr:sp macro="" textlink="">
          <xdr:nvSpPr>
            <xdr:cNvPr id="14" name="CuadroTexto 13">
              <a:extLst>
                <a:ext uri="{FF2B5EF4-FFF2-40B4-BE49-F238E27FC236}">
                  <a16:creationId xmlns:a16="http://schemas.microsoft.com/office/drawing/2014/main" id="{A65B210C-3CA6-46AB-B0C0-799825D81893}"/>
                </a:ext>
              </a:extLst>
            </xdr:cNvPr>
            <xdr:cNvSpPr txBox="1"/>
          </xdr:nvSpPr>
          <xdr:spPr>
            <a:xfrm>
              <a:off x="3192236" y="952499"/>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𝐶</a:t>
              </a:r>
              <a:r>
                <a:rPr lang="es-CL" sz="1100" b="0" i="0">
                  <a:latin typeface="Cambria Math" panose="02040503050406030204" pitchFamily="18" charset="0"/>
                </a:rPr>
                <a:t>𝑖</a:t>
              </a:r>
              <a:endParaRPr lang="es-ES" sz="1100"/>
            </a:p>
          </xdr:txBody>
        </xdr:sp>
      </mc:Fallback>
    </mc:AlternateContent>
    <xdr:clientData/>
  </xdr:oneCellAnchor>
  <xdr:oneCellAnchor>
    <xdr:from>
      <xdr:col>4</xdr:col>
      <xdr:colOff>1170214</xdr:colOff>
      <xdr:row>4</xdr:row>
      <xdr:rowOff>176893</xdr:rowOff>
    </xdr:from>
    <xdr:ext cx="714374" cy="274947"/>
    <mc:AlternateContent xmlns:mc="http://schemas.openxmlformats.org/markup-compatibility/2006" xmlns:a14="http://schemas.microsoft.com/office/drawing/2010/main">
      <mc:Choice Requires="a14">
        <xdr:sp macro="" textlink="">
          <xdr:nvSpPr>
            <xdr:cNvPr id="15" name="CuadroTexto 29">
              <a:extLst>
                <a:ext uri="{FF2B5EF4-FFF2-40B4-BE49-F238E27FC236}">
                  <a16:creationId xmlns:a16="http://schemas.microsoft.com/office/drawing/2014/main" id="{03E2559B-A28C-4284-9DA1-AAF0035B7021}"/>
                </a:ext>
              </a:extLst>
            </xdr:cNvPr>
            <xdr:cNvSpPr txBox="1"/>
          </xdr:nvSpPr>
          <xdr:spPr>
            <a:xfrm>
              <a:off x="6447064" y="938893"/>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latin typeface="Cambria Math" panose="02040503050406030204" pitchFamily="18" charset="0"/>
                          </a:rPr>
                        </m:ctrlPr>
                      </m:sSubPr>
                      <m:e>
                        <m:r>
                          <a:rPr lang="es-CL" sz="1100" i="1">
                            <a:latin typeface="Cambria Math" panose="02040503050406030204" pitchFamily="18" charset="0"/>
                          </a:rPr>
                          <m:t>𝐶</m:t>
                        </m:r>
                      </m:e>
                      <m:sub>
                        <m:r>
                          <a:rPr lang="es-CL" sz="1100" b="0" i="1">
                            <a:latin typeface="Cambria Math" panose="02040503050406030204" pitchFamily="18" charset="0"/>
                          </a:rPr>
                          <m:t>𝑜𝑢𝑡</m:t>
                        </m:r>
                      </m:sub>
                    </m:sSub>
                  </m:oMath>
                </m:oMathPara>
              </a14:m>
              <a:endParaRPr lang="es-ES" sz="1100"/>
            </a:p>
          </xdr:txBody>
        </xdr:sp>
      </mc:Choice>
      <mc:Fallback xmlns="">
        <xdr:sp macro="" textlink="">
          <xdr:nvSpPr>
            <xdr:cNvPr id="15" name="CuadroTexto 29">
              <a:extLst>
                <a:ext uri="{FF2B5EF4-FFF2-40B4-BE49-F238E27FC236}">
                  <a16:creationId xmlns:a16="http://schemas.microsoft.com/office/drawing/2014/main" id="{03E2559B-A28C-4284-9DA1-AAF0035B7021}"/>
                </a:ext>
              </a:extLst>
            </xdr:cNvPr>
            <xdr:cNvSpPr txBox="1"/>
          </xdr:nvSpPr>
          <xdr:spPr>
            <a:xfrm>
              <a:off x="6447064" y="938893"/>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𝐶</a:t>
              </a:r>
              <a:r>
                <a:rPr lang="es-CL" sz="1100" b="0" i="0">
                  <a:latin typeface="Cambria Math" panose="02040503050406030204" pitchFamily="18" charset="0"/>
                </a:rPr>
                <a:t>_𝑜𝑢𝑡</a:t>
              </a:r>
              <a:endParaRPr lang="es-ES" sz="1100"/>
            </a:p>
          </xdr:txBody>
        </xdr:sp>
      </mc:Fallback>
    </mc:AlternateContent>
    <xdr:clientData/>
  </xdr:oneCellAnchor>
  <xdr:oneCellAnchor>
    <xdr:from>
      <xdr:col>4</xdr:col>
      <xdr:colOff>1292679</xdr:colOff>
      <xdr:row>2</xdr:row>
      <xdr:rowOff>149679</xdr:rowOff>
    </xdr:from>
    <xdr:ext cx="714374" cy="274947"/>
    <mc:AlternateContent xmlns:mc="http://schemas.openxmlformats.org/markup-compatibility/2006" xmlns:a14="http://schemas.microsoft.com/office/drawing/2010/main">
      <mc:Choice Requires="a14">
        <xdr:sp macro="" textlink="">
          <xdr:nvSpPr>
            <xdr:cNvPr id="16" name="CuadroTexto 29">
              <a:extLst>
                <a:ext uri="{FF2B5EF4-FFF2-40B4-BE49-F238E27FC236}">
                  <a16:creationId xmlns:a16="http://schemas.microsoft.com/office/drawing/2014/main" id="{DB8D7D22-C538-4EE2-AB5F-D9D91FDE5E86}"/>
                </a:ext>
              </a:extLst>
            </xdr:cNvPr>
            <xdr:cNvSpPr txBox="1"/>
          </xdr:nvSpPr>
          <xdr:spPr>
            <a:xfrm>
              <a:off x="6569529" y="530679"/>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ES" sz="1100" b="0" i="1">
                            <a:latin typeface="Cambria Math"/>
                          </a:rPr>
                          <m:t>𝑜𝑢𝑡</m:t>
                        </m:r>
                      </m:sub>
                    </m:sSub>
                  </m:oMath>
                </m:oMathPara>
              </a14:m>
              <a:endParaRPr lang="es-ES" sz="1100"/>
            </a:p>
          </xdr:txBody>
        </xdr:sp>
      </mc:Choice>
      <mc:Fallback xmlns="">
        <xdr:sp macro="" textlink="">
          <xdr:nvSpPr>
            <xdr:cNvPr id="16" name="CuadroTexto 29">
              <a:extLst>
                <a:ext uri="{FF2B5EF4-FFF2-40B4-BE49-F238E27FC236}">
                  <a16:creationId xmlns:a16="http://schemas.microsoft.com/office/drawing/2014/main" id="{DB8D7D22-C538-4EE2-AB5F-D9D91FDE5E86}"/>
                </a:ext>
              </a:extLst>
            </xdr:cNvPr>
            <xdr:cNvSpPr txBox="1"/>
          </xdr:nvSpPr>
          <xdr:spPr>
            <a:xfrm>
              <a:off x="6569529" y="530679"/>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a:t>
              </a:r>
              <a:r>
                <a:rPr lang="es-ES" sz="1100" b="0" i="0">
                  <a:latin typeface="Cambria Math"/>
                </a:rPr>
                <a:t>𝑜𝑢𝑡</a:t>
              </a:r>
              <a:endParaRPr lang="es-ES" sz="1100"/>
            </a:p>
          </xdr:txBody>
        </xdr:sp>
      </mc:Fallback>
    </mc:AlternateContent>
    <xdr:clientData/>
  </xdr:oneCellAnchor>
  <xdr:oneCellAnchor>
    <xdr:from>
      <xdr:col>3</xdr:col>
      <xdr:colOff>190500</xdr:colOff>
      <xdr:row>9</xdr:row>
      <xdr:rowOff>13607</xdr:rowOff>
    </xdr:from>
    <xdr:ext cx="714374" cy="274947"/>
    <mc:AlternateContent xmlns:mc="http://schemas.openxmlformats.org/markup-compatibility/2006" xmlns:a14="http://schemas.microsoft.com/office/drawing/2010/main">
      <mc:Choice Requires="a14">
        <xdr:sp macro="" textlink="">
          <xdr:nvSpPr>
            <xdr:cNvPr id="17" name="CuadroTexto 29">
              <a:extLst>
                <a:ext uri="{FF2B5EF4-FFF2-40B4-BE49-F238E27FC236}">
                  <a16:creationId xmlns:a16="http://schemas.microsoft.com/office/drawing/2014/main" id="{A8E7630E-25A7-442B-ACB2-6F36615BB8C2}"/>
                </a:ext>
              </a:extLst>
            </xdr:cNvPr>
            <xdr:cNvSpPr txBox="1"/>
          </xdr:nvSpPr>
          <xdr:spPr>
            <a:xfrm>
              <a:off x="4486275" y="1728107"/>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CL" sz="1100" b="0" i="1">
                            <a:latin typeface="Cambria Math" panose="02040503050406030204" pitchFamily="18" charset="0"/>
                          </a:rPr>
                        </m:ctrlPr>
                      </m:sSubPr>
                      <m:e>
                        <m:r>
                          <a:rPr lang="es-CL" sz="1100" i="1">
                            <a:latin typeface="Cambria Math" panose="02040503050406030204" pitchFamily="18" charset="0"/>
                          </a:rPr>
                          <m:t>𝐶</m:t>
                        </m:r>
                      </m:e>
                      <m:sub>
                        <m:r>
                          <a:rPr lang="es-CL" sz="1100" b="0" i="1">
                            <a:latin typeface="Cambria Math" panose="02040503050406030204" pitchFamily="18" charset="0"/>
                          </a:rPr>
                          <m:t>𝑟𝑒𝑡</m:t>
                        </m:r>
                      </m:sub>
                    </m:sSub>
                  </m:oMath>
                </m:oMathPara>
              </a14:m>
              <a:endParaRPr lang="es-ES" sz="1100"/>
            </a:p>
          </xdr:txBody>
        </xdr:sp>
      </mc:Choice>
      <mc:Fallback xmlns="">
        <xdr:sp macro="" textlink="">
          <xdr:nvSpPr>
            <xdr:cNvPr id="17" name="CuadroTexto 29">
              <a:extLst>
                <a:ext uri="{FF2B5EF4-FFF2-40B4-BE49-F238E27FC236}">
                  <a16:creationId xmlns:a16="http://schemas.microsoft.com/office/drawing/2014/main" id="{A8E7630E-25A7-442B-ACB2-6F36615BB8C2}"/>
                </a:ext>
              </a:extLst>
            </xdr:cNvPr>
            <xdr:cNvSpPr txBox="1"/>
          </xdr:nvSpPr>
          <xdr:spPr>
            <a:xfrm>
              <a:off x="4486275" y="1728107"/>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CL" sz="1100" i="0">
                  <a:latin typeface="Cambria Math" panose="02040503050406030204" pitchFamily="18" charset="0"/>
                </a:rPr>
                <a:t>𝐶</a:t>
              </a:r>
              <a:r>
                <a:rPr lang="es-CL" sz="1100" b="0" i="0">
                  <a:latin typeface="Cambria Math" panose="02040503050406030204" pitchFamily="18" charset="0"/>
                </a:rPr>
                <a:t>_𝑟𝑒𝑡</a:t>
              </a:r>
              <a:endParaRPr lang="es-ES" sz="1100"/>
            </a:p>
          </xdr:txBody>
        </xdr:sp>
      </mc:Fallback>
    </mc:AlternateContent>
    <xdr:clientData/>
  </xdr:oneCellAnchor>
  <xdr:oneCellAnchor>
    <xdr:from>
      <xdr:col>4</xdr:col>
      <xdr:colOff>163286</xdr:colOff>
      <xdr:row>9</xdr:row>
      <xdr:rowOff>0</xdr:rowOff>
    </xdr:from>
    <xdr:ext cx="714374" cy="264560"/>
    <mc:AlternateContent xmlns:mc="http://schemas.openxmlformats.org/markup-compatibility/2006" xmlns:a14="http://schemas.microsoft.com/office/drawing/2010/main">
      <mc:Choice Requires="a14">
        <xdr:sp macro="" textlink="">
          <xdr:nvSpPr>
            <xdr:cNvPr id="18" name="CuadroTexto 16">
              <a:extLst>
                <a:ext uri="{FF2B5EF4-FFF2-40B4-BE49-F238E27FC236}">
                  <a16:creationId xmlns:a16="http://schemas.microsoft.com/office/drawing/2014/main" id="{649DD4E4-19BA-4FC1-A737-35D9FF75B713}"/>
                </a:ext>
              </a:extLst>
            </xdr:cNvPr>
            <xdr:cNvSpPr txBox="1"/>
          </xdr:nvSpPr>
          <xdr:spPr>
            <a:xfrm>
              <a:off x="5440136" y="1714500"/>
              <a:ext cx="7143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ES" sz="1100" b="0" i="0">
                  <a:latin typeface="+mn-lt"/>
                </a:rPr>
                <a:t>F</a:t>
              </a:r>
              <a14:m>
                <m:oMath xmlns:m="http://schemas.openxmlformats.org/officeDocument/2006/math">
                  <m:r>
                    <a:rPr lang="es-ES" sz="800" b="0" i="1">
                      <a:latin typeface="Cambria Math" panose="02040503050406030204" pitchFamily="18" charset="0"/>
                    </a:rPr>
                    <m:t>,</m:t>
                  </m:r>
                  <m:r>
                    <m:rPr>
                      <m:sty m:val="p"/>
                    </m:rPr>
                    <a:rPr lang="es-ES" sz="800" b="0" i="0">
                      <a:latin typeface="Cambria Math"/>
                    </a:rPr>
                    <m:t>ret</m:t>
                  </m:r>
                </m:oMath>
              </a14:m>
              <a:endParaRPr lang="es-ES" sz="800" b="0"/>
            </a:p>
          </xdr:txBody>
        </xdr:sp>
      </mc:Choice>
      <mc:Fallback xmlns="">
        <xdr:sp macro="" textlink="">
          <xdr:nvSpPr>
            <xdr:cNvPr id="18" name="CuadroTexto 16">
              <a:extLst>
                <a:ext uri="{FF2B5EF4-FFF2-40B4-BE49-F238E27FC236}">
                  <a16:creationId xmlns:a16="http://schemas.microsoft.com/office/drawing/2014/main" id="{649DD4E4-19BA-4FC1-A737-35D9FF75B713}"/>
                </a:ext>
              </a:extLst>
            </xdr:cNvPr>
            <xdr:cNvSpPr txBox="1"/>
          </xdr:nvSpPr>
          <xdr:spPr>
            <a:xfrm>
              <a:off x="5440136" y="1714500"/>
              <a:ext cx="7143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ES" sz="1100" b="0" i="0">
                  <a:latin typeface="+mn-lt"/>
                </a:rPr>
                <a:t>F</a:t>
              </a:r>
              <a:r>
                <a:rPr lang="es-ES" sz="800" b="0" i="0">
                  <a:latin typeface="Cambria Math" panose="02040503050406030204" pitchFamily="18" charset="0"/>
                </a:rPr>
                <a:t>,</a:t>
              </a:r>
              <a:r>
                <a:rPr lang="es-ES" sz="800" b="0" i="0">
                  <a:latin typeface="Cambria Math"/>
                </a:rPr>
                <a:t>ret</a:t>
              </a:r>
              <a:endParaRPr lang="es-ES" sz="800" b="0"/>
            </a:p>
          </xdr:txBody>
        </xdr:sp>
      </mc:Fallback>
    </mc:AlternateContent>
    <xdr:clientData/>
  </xdr:oneCellAnchor>
  <xdr:twoCellAnchor>
    <xdr:from>
      <xdr:col>8</xdr:col>
      <xdr:colOff>13608</xdr:colOff>
      <xdr:row>14</xdr:row>
      <xdr:rowOff>40821</xdr:rowOff>
    </xdr:from>
    <xdr:to>
      <xdr:col>9</xdr:col>
      <xdr:colOff>1102179</xdr:colOff>
      <xdr:row>17</xdr:row>
      <xdr:rowOff>95250</xdr:rowOff>
    </xdr:to>
    <mc:AlternateContent xmlns:mc="http://schemas.openxmlformats.org/markup-compatibility/2006" xmlns:a14="http://schemas.microsoft.com/office/drawing/2010/main">
      <mc:Choice Requires="a14">
        <xdr:sp macro="" textlink="">
          <xdr:nvSpPr>
            <xdr:cNvPr id="19" name="CuadroTexto 18">
              <a:extLst>
                <a:ext uri="{FF2B5EF4-FFF2-40B4-BE49-F238E27FC236}">
                  <a16:creationId xmlns:a16="http://schemas.microsoft.com/office/drawing/2014/main" id="{F343E940-6447-4407-A8A9-57815227EE3E}"/>
                </a:ext>
              </a:extLst>
            </xdr:cNvPr>
            <xdr:cNvSpPr txBox="1"/>
          </xdr:nvSpPr>
          <xdr:spPr>
            <a:xfrm>
              <a:off x="15958458" y="2707821"/>
              <a:ext cx="5089071" cy="625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ES" sz="1100" i="1">
                <a:latin typeface="Cambria Math" panose="02040503050406030204" pitchFamily="18" charset="0"/>
              </a:endParaRPr>
            </a:p>
            <a:p>
              <a:pPr/>
              <a14:m>
                <m:oMathPara xmlns:m="http://schemas.openxmlformats.org/officeDocument/2006/math">
                  <m:oMathParaPr>
                    <m:jc m:val="centerGroup"/>
                  </m:oMathParaPr>
                  <m:oMath xmlns:m="http://schemas.openxmlformats.org/officeDocument/2006/math">
                    <m:r>
                      <a:rPr lang="es-ES" sz="1100" i="1">
                        <a:latin typeface="Cambria Math" panose="02040503050406030204" pitchFamily="18" charset="0"/>
                      </a:rPr>
                      <m:t>𝐹𝑖𝑛</m:t>
                    </m:r>
                    <m:r>
                      <a:rPr lang="es-ES" sz="1100" i="1">
                        <a:latin typeface="Cambria Math" panose="02040503050406030204" pitchFamily="18" charset="0"/>
                      </a:rPr>
                      <m:t>∗</m:t>
                    </m:r>
                    <m:r>
                      <a:rPr lang="es-ES" sz="1100" i="1">
                        <a:latin typeface="Cambria Math" panose="02040503050406030204" pitchFamily="18" charset="0"/>
                      </a:rPr>
                      <m:t>𝐶𝑖</m:t>
                    </m:r>
                    <m:r>
                      <a:rPr lang="es-ES" sz="1100" i="1">
                        <a:latin typeface="Cambria Math" panose="02040503050406030204" pitchFamily="18" charset="0"/>
                      </a:rPr>
                      <m:t>(</m:t>
                    </m:r>
                    <m:r>
                      <a:rPr lang="es-ES" sz="1100" i="1">
                        <a:latin typeface="Cambria Math" panose="02040503050406030204" pitchFamily="18" charset="0"/>
                      </a:rPr>
                      <m:t>𝑒𝑛𝑡𝑟𝑎𝑑𝑎</m:t>
                    </m:r>
                    <m:r>
                      <a:rPr lang="es-ES" sz="1100" i="1">
                        <a:latin typeface="Cambria Math" panose="02040503050406030204" pitchFamily="18" charset="0"/>
                      </a:rPr>
                      <m:t>)−  (</m:t>
                    </m:r>
                    <m:r>
                      <a:rPr lang="es-ES" sz="1100" i="1">
                        <a:latin typeface="Cambria Math" panose="02040503050406030204" pitchFamily="18" charset="0"/>
                      </a:rPr>
                      <m:t>𝐹𝑜𝑢𝑡</m:t>
                    </m:r>
                    <m:r>
                      <a:rPr lang="es-ES" sz="1100" i="1">
                        <a:latin typeface="Cambria Math" panose="02040503050406030204" pitchFamily="18" charset="0"/>
                      </a:rPr>
                      <m:t>∗</m:t>
                    </m:r>
                    <m:r>
                      <a:rPr lang="es-ES" sz="1100" i="1">
                        <a:latin typeface="Cambria Math" panose="02040503050406030204" pitchFamily="18" charset="0"/>
                      </a:rPr>
                      <m:t>𝐶𝑜𝑢𝑡</m:t>
                    </m:r>
                    <m:r>
                      <a:rPr lang="es-ES" sz="1100" i="1">
                        <a:latin typeface="Cambria Math" panose="02040503050406030204" pitchFamily="18" charset="0"/>
                      </a:rPr>
                      <m:t>+</m:t>
                    </m:r>
                    <m:r>
                      <a:rPr lang="es-ES" sz="1100" i="1">
                        <a:latin typeface="Cambria Math" panose="02040503050406030204" pitchFamily="18" charset="0"/>
                      </a:rPr>
                      <m:t>𝐹𝑟𝑒𝑡</m:t>
                    </m:r>
                    <m:r>
                      <a:rPr lang="es-ES" sz="1100" i="1">
                        <a:latin typeface="Cambria Math" panose="02040503050406030204" pitchFamily="18" charset="0"/>
                      </a:rPr>
                      <m:t>∗</m:t>
                    </m:r>
                    <m:r>
                      <a:rPr lang="es-ES" sz="1100" i="1">
                        <a:latin typeface="Cambria Math" panose="02040503050406030204" pitchFamily="18" charset="0"/>
                      </a:rPr>
                      <m:t>𝐶𝑟𝑒𝑡</m:t>
                    </m:r>
                    <m:r>
                      <a:rPr lang="es-ES" sz="1100" i="1">
                        <a:latin typeface="Cambria Math" panose="02040503050406030204" pitchFamily="18" charset="0"/>
                      </a:rPr>
                      <m:t>) (</m:t>
                    </m:r>
                    <m:r>
                      <a:rPr lang="es-ES" sz="1100" i="1">
                        <a:latin typeface="Cambria Math" panose="02040503050406030204" pitchFamily="18" charset="0"/>
                      </a:rPr>
                      <m:t>𝑠𝑎𝑙𝑖𝑑𝑎</m:t>
                    </m:r>
                    <m:r>
                      <a:rPr lang="es-ES" sz="1100" i="1">
                        <a:latin typeface="Cambria Math" panose="02040503050406030204" pitchFamily="18" charset="0"/>
                      </a:rPr>
                      <m:t>)=</m:t>
                    </m:r>
                    <m:r>
                      <a:rPr lang="es-ES" sz="1100" i="1">
                        <a:latin typeface="Cambria Math" panose="02040503050406030204" pitchFamily="18" charset="0"/>
                      </a:rPr>
                      <m:t>𝐴𝑐𝑢𝑚𝑢𝑙𝑎𝑐𝑖</m:t>
                    </m:r>
                    <m:r>
                      <a:rPr lang="es-ES" sz="1100" i="1">
                        <a:latin typeface="Cambria Math" panose="02040503050406030204" pitchFamily="18" charset="0"/>
                      </a:rPr>
                      <m:t>ó</m:t>
                    </m:r>
                    <m:r>
                      <a:rPr lang="es-ES" sz="1100" i="1">
                        <a:latin typeface="Cambria Math" panose="02040503050406030204" pitchFamily="18" charset="0"/>
                      </a:rPr>
                      <m:t>𝑛</m:t>
                    </m:r>
                  </m:oMath>
                </m:oMathPara>
              </a14:m>
              <a:endParaRPr lang="es-ES" sz="1100"/>
            </a:p>
          </xdr:txBody>
        </xdr:sp>
      </mc:Choice>
      <mc:Fallback xmlns="">
        <xdr:sp macro="" textlink="">
          <xdr:nvSpPr>
            <xdr:cNvPr id="19" name="CuadroTexto 18">
              <a:extLst>
                <a:ext uri="{FF2B5EF4-FFF2-40B4-BE49-F238E27FC236}">
                  <a16:creationId xmlns:a16="http://schemas.microsoft.com/office/drawing/2014/main" id="{F343E940-6447-4407-A8A9-57815227EE3E}"/>
                </a:ext>
              </a:extLst>
            </xdr:cNvPr>
            <xdr:cNvSpPr txBox="1"/>
          </xdr:nvSpPr>
          <xdr:spPr>
            <a:xfrm>
              <a:off x="15958458" y="2707821"/>
              <a:ext cx="5089071" cy="625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ES" sz="1100" i="1">
                <a:latin typeface="Cambria Math" panose="02040503050406030204" pitchFamily="18" charset="0"/>
              </a:endParaRPr>
            </a:p>
            <a:p>
              <a:pPr/>
              <a:r>
                <a:rPr lang="es-ES" sz="1100" i="0">
                  <a:latin typeface="Cambria Math" panose="02040503050406030204" pitchFamily="18" charset="0"/>
                </a:rPr>
                <a:t>𝐹𝑖𝑛∗𝐶𝑖(𝑒𝑛𝑡𝑟𝑎𝑑𝑎)−  (𝐹𝑜𝑢𝑡∗𝐶𝑜𝑢𝑡+𝐹𝑟𝑒𝑡∗𝐶𝑟𝑒𝑡) (𝑠𝑎𝑙𝑖𝑑𝑎)=𝐴𝑐𝑢𝑚𝑢𝑙𝑎𝑐𝑖ó𝑛</a:t>
              </a:r>
              <a:endParaRPr lang="es-ES" sz="1100"/>
            </a:p>
          </xdr:txBody>
        </xdr:sp>
      </mc:Fallback>
    </mc:AlternateContent>
    <xdr:clientData/>
  </xdr:twoCellAnchor>
  <xdr:twoCellAnchor>
    <xdr:from>
      <xdr:col>3</xdr:col>
      <xdr:colOff>381000</xdr:colOff>
      <xdr:row>0</xdr:row>
      <xdr:rowOff>0</xdr:rowOff>
    </xdr:from>
    <xdr:to>
      <xdr:col>4</xdr:col>
      <xdr:colOff>585107</xdr:colOff>
      <xdr:row>7</xdr:row>
      <xdr:rowOff>147411</xdr:rowOff>
    </xdr:to>
    <xdr:sp macro="" textlink="">
      <xdr:nvSpPr>
        <xdr:cNvPr id="20" name="Diagrama de flujo: disco magnético 19">
          <a:extLst>
            <a:ext uri="{FF2B5EF4-FFF2-40B4-BE49-F238E27FC236}">
              <a16:creationId xmlns:a16="http://schemas.microsoft.com/office/drawing/2014/main" id="{178C5151-D344-453C-A71D-ECC39BEF7E26}"/>
            </a:ext>
          </a:extLst>
        </xdr:cNvPr>
        <xdr:cNvSpPr/>
      </xdr:nvSpPr>
      <xdr:spPr>
        <a:xfrm>
          <a:off x="4676775" y="0"/>
          <a:ext cx="1185182" cy="1480911"/>
        </a:xfrm>
        <a:prstGeom prst="flowChartMagneticDisk">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CL" sz="1100"/>
        </a:p>
      </xdr:txBody>
    </xdr:sp>
    <xdr:clientData/>
  </xdr:twoCellAnchor>
  <xdr:twoCellAnchor>
    <xdr:from>
      <xdr:col>3</xdr:col>
      <xdr:colOff>408214</xdr:colOff>
      <xdr:row>3</xdr:row>
      <xdr:rowOff>40821</xdr:rowOff>
    </xdr:from>
    <xdr:to>
      <xdr:col>4</xdr:col>
      <xdr:colOff>557893</xdr:colOff>
      <xdr:row>6</xdr:row>
      <xdr:rowOff>120196</xdr:rowOff>
    </xdr:to>
    <xdr:sp macro="" textlink="">
      <xdr:nvSpPr>
        <xdr:cNvPr id="21" name="CuadroTexto 20">
          <a:extLst>
            <a:ext uri="{FF2B5EF4-FFF2-40B4-BE49-F238E27FC236}">
              <a16:creationId xmlns:a16="http://schemas.microsoft.com/office/drawing/2014/main" id="{19E8B766-EA6D-44E2-857F-919FCD3925C3}"/>
            </a:ext>
          </a:extLst>
        </xdr:cNvPr>
        <xdr:cNvSpPr txBox="1"/>
      </xdr:nvSpPr>
      <xdr:spPr>
        <a:xfrm>
          <a:off x="4703989" y="612321"/>
          <a:ext cx="1130754" cy="650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500"/>
            <a:t>Filtro</a:t>
          </a:r>
          <a:r>
            <a:rPr lang="es-CL" sz="1500" baseline="0"/>
            <a:t> lecho mixto</a:t>
          </a:r>
          <a:endParaRPr lang="es-CL" sz="1500"/>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3</xdr:col>
      <xdr:colOff>395287</xdr:colOff>
      <xdr:row>9</xdr:row>
      <xdr:rowOff>104775</xdr:rowOff>
    </xdr:from>
    <xdr:ext cx="65" cy="172227"/>
    <xdr:sp macro="" textlink="">
      <xdr:nvSpPr>
        <xdr:cNvPr id="2" name="CuadroTexto 1">
          <a:extLst>
            <a:ext uri="{FF2B5EF4-FFF2-40B4-BE49-F238E27FC236}">
              <a16:creationId xmlns:a16="http://schemas.microsoft.com/office/drawing/2014/main" id="{00000000-0008-0000-0300-000002000000}"/>
            </a:ext>
          </a:extLst>
        </xdr:cNvPr>
        <xdr:cNvSpPr txBox="1"/>
      </xdr:nvSpPr>
      <xdr:spPr>
        <a:xfrm>
          <a:off x="2681287" y="1819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4</xdr:col>
      <xdr:colOff>0</xdr:colOff>
      <xdr:row>1</xdr:row>
      <xdr:rowOff>180975</xdr:rowOff>
    </xdr:from>
    <xdr:to>
      <xdr:col>8</xdr:col>
      <xdr:colOff>514350</xdr:colOff>
      <xdr:row>7</xdr:row>
      <xdr:rowOff>28575</xdr:rowOff>
    </xdr:to>
    <xdr:sp macro="" textlink="">
      <xdr:nvSpPr>
        <xdr:cNvPr id="3" name="CuadroTexto 2">
          <a:extLst>
            <a:ext uri="{FF2B5EF4-FFF2-40B4-BE49-F238E27FC236}">
              <a16:creationId xmlns:a16="http://schemas.microsoft.com/office/drawing/2014/main" id="{00000000-0008-0000-0300-000003000000}"/>
            </a:ext>
          </a:extLst>
        </xdr:cNvPr>
        <xdr:cNvSpPr txBox="1"/>
      </xdr:nvSpPr>
      <xdr:spPr>
        <a:xfrm>
          <a:off x="3048000" y="371475"/>
          <a:ext cx="3562350"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ES" sz="2000"/>
        </a:p>
        <a:p>
          <a:pPr algn="ctr"/>
          <a:r>
            <a:rPr lang="es-ES" sz="2000"/>
            <a:t>Maceración</a:t>
          </a:r>
        </a:p>
      </xdr:txBody>
    </xdr:sp>
    <xdr:clientData/>
  </xdr:twoCellAnchor>
  <xdr:twoCellAnchor>
    <xdr:from>
      <xdr:col>2</xdr:col>
      <xdr:colOff>123825</xdr:colOff>
      <xdr:row>6</xdr:row>
      <xdr:rowOff>0</xdr:rowOff>
    </xdr:from>
    <xdr:to>
      <xdr:col>4</xdr:col>
      <xdr:colOff>9525</xdr:colOff>
      <xdr:row>6</xdr:row>
      <xdr:rowOff>0</xdr:rowOff>
    </xdr:to>
    <xdr:cxnSp macro="">
      <xdr:nvCxnSpPr>
        <xdr:cNvPr id="4" name="Conector recto de flecha 3">
          <a:extLst>
            <a:ext uri="{FF2B5EF4-FFF2-40B4-BE49-F238E27FC236}">
              <a16:creationId xmlns:a16="http://schemas.microsoft.com/office/drawing/2014/main" id="{00000000-0008-0000-0300-000004000000}"/>
            </a:ext>
          </a:extLst>
        </xdr:cNvPr>
        <xdr:cNvCxnSpPr/>
      </xdr:nvCxnSpPr>
      <xdr:spPr>
        <a:xfrm>
          <a:off x="1647825" y="1143000"/>
          <a:ext cx="1409700"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8</xdr:col>
      <xdr:colOff>514350</xdr:colOff>
      <xdr:row>4</xdr:row>
      <xdr:rowOff>79375</xdr:rowOff>
    </xdr:from>
    <xdr:to>
      <xdr:col>9</xdr:col>
      <xdr:colOff>1162050</xdr:colOff>
      <xdr:row>4</xdr:row>
      <xdr:rowOff>79375</xdr:rowOff>
    </xdr:to>
    <xdr:cxnSp macro="">
      <xdr:nvCxnSpPr>
        <xdr:cNvPr id="5" name="Conector recto de flecha 4">
          <a:extLst>
            <a:ext uri="{FF2B5EF4-FFF2-40B4-BE49-F238E27FC236}">
              <a16:creationId xmlns:a16="http://schemas.microsoft.com/office/drawing/2014/main" id="{00000000-0008-0000-0300-000005000000}"/>
            </a:ext>
          </a:extLst>
        </xdr:cNvPr>
        <xdr:cNvCxnSpPr/>
      </xdr:nvCxnSpPr>
      <xdr:spPr>
        <a:xfrm>
          <a:off x="6610350" y="841375"/>
          <a:ext cx="1009650" cy="0"/>
        </a:xfrm>
        <a:prstGeom prst="straightConnector1">
          <a:avLst/>
        </a:prstGeom>
        <a:ln w="38100">
          <a:solidFill>
            <a:srgbClr val="FF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104776</xdr:colOff>
      <xdr:row>6</xdr:row>
      <xdr:rowOff>57151</xdr:rowOff>
    </xdr:from>
    <xdr:to>
      <xdr:col>2</xdr:col>
      <xdr:colOff>714375</xdr:colOff>
      <xdr:row>7</xdr:row>
      <xdr:rowOff>171451</xdr:rowOff>
    </xdr:to>
    <xdr:sp macro="" textlink="">
      <xdr:nvSpPr>
        <xdr:cNvPr id="6" name="CuadroTexto 5">
          <a:extLst>
            <a:ext uri="{FF2B5EF4-FFF2-40B4-BE49-F238E27FC236}">
              <a16:creationId xmlns:a16="http://schemas.microsoft.com/office/drawing/2014/main" id="{00000000-0008-0000-0300-000006000000}"/>
            </a:ext>
          </a:extLst>
        </xdr:cNvPr>
        <xdr:cNvSpPr txBox="1"/>
      </xdr:nvSpPr>
      <xdr:spPr>
        <a:xfrm>
          <a:off x="1628776" y="1200151"/>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2</a:t>
          </a:r>
          <a:endParaRPr lang="es-ES" sz="1800" b="1"/>
        </a:p>
      </xdr:txBody>
    </xdr:sp>
    <xdr:clientData/>
  </xdr:twoCellAnchor>
  <xdr:twoCellAnchor>
    <xdr:from>
      <xdr:col>9</xdr:col>
      <xdr:colOff>936626</xdr:colOff>
      <xdr:row>4</xdr:row>
      <xdr:rowOff>184151</xdr:rowOff>
    </xdr:from>
    <xdr:to>
      <xdr:col>9</xdr:col>
      <xdr:colOff>1546225</xdr:colOff>
      <xdr:row>6</xdr:row>
      <xdr:rowOff>107951</xdr:rowOff>
    </xdr:to>
    <xdr:sp macro="" textlink="">
      <xdr:nvSpPr>
        <xdr:cNvPr id="7" name="CuadroTexto 6">
          <a:extLst>
            <a:ext uri="{FF2B5EF4-FFF2-40B4-BE49-F238E27FC236}">
              <a16:creationId xmlns:a16="http://schemas.microsoft.com/office/drawing/2014/main" id="{00000000-0008-0000-0300-000007000000}"/>
            </a:ext>
          </a:extLst>
        </xdr:cNvPr>
        <xdr:cNvSpPr txBox="1"/>
      </xdr:nvSpPr>
      <xdr:spPr>
        <a:xfrm>
          <a:off x="7623176" y="946151"/>
          <a:ext cx="0"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3</a:t>
          </a:r>
          <a:endParaRPr lang="es-ES" sz="1800" b="1"/>
        </a:p>
      </xdr:txBody>
    </xdr:sp>
    <xdr:clientData/>
  </xdr:twoCellAnchor>
  <xdr:twoCellAnchor>
    <xdr:from>
      <xdr:col>2</xdr:col>
      <xdr:colOff>28575</xdr:colOff>
      <xdr:row>1</xdr:row>
      <xdr:rowOff>85725</xdr:rowOff>
    </xdr:from>
    <xdr:to>
      <xdr:col>2</xdr:col>
      <xdr:colOff>638174</xdr:colOff>
      <xdr:row>3</xdr:row>
      <xdr:rowOff>9525</xdr:rowOff>
    </xdr:to>
    <xdr:sp macro="" textlink="">
      <xdr:nvSpPr>
        <xdr:cNvPr id="8" name="CuadroTexto 7">
          <a:extLst>
            <a:ext uri="{FF2B5EF4-FFF2-40B4-BE49-F238E27FC236}">
              <a16:creationId xmlns:a16="http://schemas.microsoft.com/office/drawing/2014/main" id="{00000000-0008-0000-0300-000008000000}"/>
            </a:ext>
          </a:extLst>
        </xdr:cNvPr>
        <xdr:cNvSpPr txBox="1"/>
      </xdr:nvSpPr>
      <xdr:spPr>
        <a:xfrm>
          <a:off x="1552575" y="276225"/>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1</a:t>
          </a:r>
          <a:endParaRPr lang="es-ES" sz="1800" b="1"/>
        </a:p>
      </xdr:txBody>
    </xdr:sp>
    <xdr:clientData/>
  </xdr:twoCellAnchor>
  <xdr:twoCellAnchor>
    <xdr:from>
      <xdr:col>2</xdr:col>
      <xdr:colOff>136525</xdr:colOff>
      <xdr:row>3</xdr:row>
      <xdr:rowOff>88900</xdr:rowOff>
    </xdr:from>
    <xdr:to>
      <xdr:col>4</xdr:col>
      <xdr:colOff>22225</xdr:colOff>
      <xdr:row>3</xdr:row>
      <xdr:rowOff>88900</xdr:rowOff>
    </xdr:to>
    <xdr:cxnSp macro="">
      <xdr:nvCxnSpPr>
        <xdr:cNvPr id="9" name="Conector recto de flecha 8">
          <a:extLst>
            <a:ext uri="{FF2B5EF4-FFF2-40B4-BE49-F238E27FC236}">
              <a16:creationId xmlns:a16="http://schemas.microsoft.com/office/drawing/2014/main" id="{00000000-0008-0000-0300-000009000000}"/>
            </a:ext>
          </a:extLst>
        </xdr:cNvPr>
        <xdr:cNvCxnSpPr/>
      </xdr:nvCxnSpPr>
      <xdr:spPr>
        <a:xfrm>
          <a:off x="1660525" y="660400"/>
          <a:ext cx="1409700"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oneCellAnchor>
    <xdr:from>
      <xdr:col>3</xdr:col>
      <xdr:colOff>395287</xdr:colOff>
      <xdr:row>9</xdr:row>
      <xdr:rowOff>104775</xdr:rowOff>
    </xdr:from>
    <xdr:ext cx="65" cy="172227"/>
    <xdr:sp macro="" textlink="">
      <xdr:nvSpPr>
        <xdr:cNvPr id="12" name="CuadroTexto 11">
          <a:extLst>
            <a:ext uri="{FF2B5EF4-FFF2-40B4-BE49-F238E27FC236}">
              <a16:creationId xmlns:a16="http://schemas.microsoft.com/office/drawing/2014/main" id="{00000000-0008-0000-0300-00000C000000}"/>
            </a:ext>
          </a:extLst>
        </xdr:cNvPr>
        <xdr:cNvSpPr txBox="1"/>
      </xdr:nvSpPr>
      <xdr:spPr>
        <a:xfrm>
          <a:off x="5443537" y="1819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4</xdr:col>
      <xdr:colOff>0</xdr:colOff>
      <xdr:row>1</xdr:row>
      <xdr:rowOff>180975</xdr:rowOff>
    </xdr:from>
    <xdr:to>
      <xdr:col>8</xdr:col>
      <xdr:colOff>514350</xdr:colOff>
      <xdr:row>7</xdr:row>
      <xdr:rowOff>28575</xdr:rowOff>
    </xdr:to>
    <xdr:sp macro="" textlink="">
      <xdr:nvSpPr>
        <xdr:cNvPr id="13" name="CuadroTexto 12">
          <a:extLst>
            <a:ext uri="{FF2B5EF4-FFF2-40B4-BE49-F238E27FC236}">
              <a16:creationId xmlns:a16="http://schemas.microsoft.com/office/drawing/2014/main" id="{00000000-0008-0000-0300-00000D000000}"/>
            </a:ext>
          </a:extLst>
        </xdr:cNvPr>
        <xdr:cNvSpPr txBox="1"/>
      </xdr:nvSpPr>
      <xdr:spPr>
        <a:xfrm>
          <a:off x="6400800" y="371475"/>
          <a:ext cx="593407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ES" sz="2000"/>
        </a:p>
        <a:p>
          <a:pPr algn="ctr"/>
          <a:r>
            <a:rPr lang="es-ES" sz="2000"/>
            <a:t>Maceración</a:t>
          </a:r>
        </a:p>
      </xdr:txBody>
    </xdr:sp>
    <xdr:clientData/>
  </xdr:twoCellAnchor>
  <xdr:twoCellAnchor>
    <xdr:from>
      <xdr:col>2</xdr:col>
      <xdr:colOff>123825</xdr:colOff>
      <xdr:row>6</xdr:row>
      <xdr:rowOff>0</xdr:rowOff>
    </xdr:from>
    <xdr:to>
      <xdr:col>4</xdr:col>
      <xdr:colOff>9525</xdr:colOff>
      <xdr:row>6</xdr:row>
      <xdr:rowOff>0</xdr:rowOff>
    </xdr:to>
    <xdr:cxnSp macro="">
      <xdr:nvCxnSpPr>
        <xdr:cNvPr id="14" name="Conector recto de flecha 13">
          <a:extLst>
            <a:ext uri="{FF2B5EF4-FFF2-40B4-BE49-F238E27FC236}">
              <a16:creationId xmlns:a16="http://schemas.microsoft.com/office/drawing/2014/main" id="{00000000-0008-0000-0300-00000E000000}"/>
            </a:ext>
          </a:extLst>
        </xdr:cNvPr>
        <xdr:cNvCxnSpPr/>
      </xdr:nvCxnSpPr>
      <xdr:spPr>
        <a:xfrm>
          <a:off x="4257675" y="1143000"/>
          <a:ext cx="2152650"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8</xdr:col>
      <xdr:colOff>514350</xdr:colOff>
      <xdr:row>4</xdr:row>
      <xdr:rowOff>79375</xdr:rowOff>
    </xdr:from>
    <xdr:to>
      <xdr:col>9</xdr:col>
      <xdr:colOff>1162050</xdr:colOff>
      <xdr:row>4</xdr:row>
      <xdr:rowOff>79375</xdr:rowOff>
    </xdr:to>
    <xdr:cxnSp macro="">
      <xdr:nvCxnSpPr>
        <xdr:cNvPr id="15" name="Conector recto de flecha 14">
          <a:extLst>
            <a:ext uri="{FF2B5EF4-FFF2-40B4-BE49-F238E27FC236}">
              <a16:creationId xmlns:a16="http://schemas.microsoft.com/office/drawing/2014/main" id="{00000000-0008-0000-0300-00000F000000}"/>
            </a:ext>
          </a:extLst>
        </xdr:cNvPr>
        <xdr:cNvCxnSpPr/>
      </xdr:nvCxnSpPr>
      <xdr:spPr>
        <a:xfrm>
          <a:off x="12334875" y="841375"/>
          <a:ext cx="3057525" cy="0"/>
        </a:xfrm>
        <a:prstGeom prst="straightConnector1">
          <a:avLst/>
        </a:prstGeom>
        <a:ln w="38100">
          <a:solidFill>
            <a:srgbClr val="FF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104776</xdr:colOff>
      <xdr:row>6</xdr:row>
      <xdr:rowOff>57151</xdr:rowOff>
    </xdr:from>
    <xdr:to>
      <xdr:col>2</xdr:col>
      <xdr:colOff>714375</xdr:colOff>
      <xdr:row>7</xdr:row>
      <xdr:rowOff>171451</xdr:rowOff>
    </xdr:to>
    <xdr:sp macro="" textlink="">
      <xdr:nvSpPr>
        <xdr:cNvPr id="16" name="CuadroTexto 15">
          <a:extLst>
            <a:ext uri="{FF2B5EF4-FFF2-40B4-BE49-F238E27FC236}">
              <a16:creationId xmlns:a16="http://schemas.microsoft.com/office/drawing/2014/main" id="{00000000-0008-0000-0300-000010000000}"/>
            </a:ext>
          </a:extLst>
        </xdr:cNvPr>
        <xdr:cNvSpPr txBox="1"/>
      </xdr:nvSpPr>
      <xdr:spPr>
        <a:xfrm>
          <a:off x="4238626" y="1200151"/>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2</a:t>
          </a:r>
          <a:endParaRPr lang="es-ES" sz="1800" b="1"/>
        </a:p>
      </xdr:txBody>
    </xdr:sp>
    <xdr:clientData/>
  </xdr:twoCellAnchor>
  <xdr:twoCellAnchor>
    <xdr:from>
      <xdr:col>9</xdr:col>
      <xdr:colOff>936626</xdr:colOff>
      <xdr:row>4</xdr:row>
      <xdr:rowOff>184151</xdr:rowOff>
    </xdr:from>
    <xdr:to>
      <xdr:col>9</xdr:col>
      <xdr:colOff>1546225</xdr:colOff>
      <xdr:row>6</xdr:row>
      <xdr:rowOff>107951</xdr:rowOff>
    </xdr:to>
    <xdr:sp macro="" textlink="">
      <xdr:nvSpPr>
        <xdr:cNvPr id="17" name="CuadroTexto 16">
          <a:extLst>
            <a:ext uri="{FF2B5EF4-FFF2-40B4-BE49-F238E27FC236}">
              <a16:creationId xmlns:a16="http://schemas.microsoft.com/office/drawing/2014/main" id="{00000000-0008-0000-0300-000011000000}"/>
            </a:ext>
          </a:extLst>
        </xdr:cNvPr>
        <xdr:cNvSpPr txBox="1"/>
      </xdr:nvSpPr>
      <xdr:spPr>
        <a:xfrm>
          <a:off x="15166976" y="946151"/>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3</a:t>
          </a:r>
          <a:endParaRPr lang="es-ES" sz="1800" b="1"/>
        </a:p>
      </xdr:txBody>
    </xdr:sp>
    <xdr:clientData/>
  </xdr:twoCellAnchor>
  <xdr:twoCellAnchor>
    <xdr:from>
      <xdr:col>2</xdr:col>
      <xdr:colOff>28575</xdr:colOff>
      <xdr:row>1</xdr:row>
      <xdr:rowOff>85725</xdr:rowOff>
    </xdr:from>
    <xdr:to>
      <xdr:col>2</xdr:col>
      <xdr:colOff>638174</xdr:colOff>
      <xdr:row>3</xdr:row>
      <xdr:rowOff>9525</xdr:rowOff>
    </xdr:to>
    <xdr:sp macro="" textlink="">
      <xdr:nvSpPr>
        <xdr:cNvPr id="18" name="CuadroTexto 17">
          <a:extLst>
            <a:ext uri="{FF2B5EF4-FFF2-40B4-BE49-F238E27FC236}">
              <a16:creationId xmlns:a16="http://schemas.microsoft.com/office/drawing/2014/main" id="{00000000-0008-0000-0300-000012000000}"/>
            </a:ext>
          </a:extLst>
        </xdr:cNvPr>
        <xdr:cNvSpPr txBox="1"/>
      </xdr:nvSpPr>
      <xdr:spPr>
        <a:xfrm>
          <a:off x="4162425" y="276225"/>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1</a:t>
          </a:r>
          <a:endParaRPr lang="es-ES" sz="1800" b="1"/>
        </a:p>
      </xdr:txBody>
    </xdr:sp>
    <xdr:clientData/>
  </xdr:twoCellAnchor>
  <xdr:twoCellAnchor>
    <xdr:from>
      <xdr:col>2</xdr:col>
      <xdr:colOff>136525</xdr:colOff>
      <xdr:row>3</xdr:row>
      <xdr:rowOff>88900</xdr:rowOff>
    </xdr:from>
    <xdr:to>
      <xdr:col>4</xdr:col>
      <xdr:colOff>22225</xdr:colOff>
      <xdr:row>3</xdr:row>
      <xdr:rowOff>88900</xdr:rowOff>
    </xdr:to>
    <xdr:cxnSp macro="">
      <xdr:nvCxnSpPr>
        <xdr:cNvPr id="19" name="Conector recto de flecha 18">
          <a:extLst>
            <a:ext uri="{FF2B5EF4-FFF2-40B4-BE49-F238E27FC236}">
              <a16:creationId xmlns:a16="http://schemas.microsoft.com/office/drawing/2014/main" id="{00000000-0008-0000-0300-000013000000}"/>
            </a:ext>
          </a:extLst>
        </xdr:cNvPr>
        <xdr:cNvCxnSpPr/>
      </xdr:nvCxnSpPr>
      <xdr:spPr>
        <a:xfrm>
          <a:off x="4270375" y="660400"/>
          <a:ext cx="2152650"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oneCellAnchor>
    <xdr:from>
      <xdr:col>3</xdr:col>
      <xdr:colOff>395287</xdr:colOff>
      <xdr:row>9</xdr:row>
      <xdr:rowOff>104775</xdr:rowOff>
    </xdr:from>
    <xdr:ext cx="65" cy="172227"/>
    <xdr:sp macro="" textlink="">
      <xdr:nvSpPr>
        <xdr:cNvPr id="21" name="CuadroTexto 20">
          <a:extLst>
            <a:ext uri="{FF2B5EF4-FFF2-40B4-BE49-F238E27FC236}">
              <a16:creationId xmlns:a16="http://schemas.microsoft.com/office/drawing/2014/main" id="{00000000-0008-0000-0300-000015000000}"/>
            </a:ext>
          </a:extLst>
        </xdr:cNvPr>
        <xdr:cNvSpPr txBox="1"/>
      </xdr:nvSpPr>
      <xdr:spPr>
        <a:xfrm>
          <a:off x="8053387" y="1819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4</xdr:col>
      <xdr:colOff>0</xdr:colOff>
      <xdr:row>1</xdr:row>
      <xdr:rowOff>180975</xdr:rowOff>
    </xdr:from>
    <xdr:to>
      <xdr:col>8</xdr:col>
      <xdr:colOff>514350</xdr:colOff>
      <xdr:row>7</xdr:row>
      <xdr:rowOff>28575</xdr:rowOff>
    </xdr:to>
    <xdr:sp macro="" textlink="">
      <xdr:nvSpPr>
        <xdr:cNvPr id="22" name="CuadroTexto 21">
          <a:extLst>
            <a:ext uri="{FF2B5EF4-FFF2-40B4-BE49-F238E27FC236}">
              <a16:creationId xmlns:a16="http://schemas.microsoft.com/office/drawing/2014/main" id="{00000000-0008-0000-0300-000016000000}"/>
            </a:ext>
          </a:extLst>
        </xdr:cNvPr>
        <xdr:cNvSpPr txBox="1"/>
      </xdr:nvSpPr>
      <xdr:spPr>
        <a:xfrm>
          <a:off x="9505950" y="371475"/>
          <a:ext cx="6438900"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ES" sz="2000"/>
        </a:p>
        <a:p>
          <a:pPr algn="ctr"/>
          <a:r>
            <a:rPr lang="es-ES" sz="2000"/>
            <a:t>Maceración</a:t>
          </a:r>
        </a:p>
      </xdr:txBody>
    </xdr:sp>
    <xdr:clientData/>
  </xdr:twoCellAnchor>
  <xdr:twoCellAnchor>
    <xdr:from>
      <xdr:col>2</xdr:col>
      <xdr:colOff>123825</xdr:colOff>
      <xdr:row>6</xdr:row>
      <xdr:rowOff>0</xdr:rowOff>
    </xdr:from>
    <xdr:to>
      <xdr:col>4</xdr:col>
      <xdr:colOff>9525</xdr:colOff>
      <xdr:row>6</xdr:row>
      <xdr:rowOff>0</xdr:rowOff>
    </xdr:to>
    <xdr:cxnSp macro="">
      <xdr:nvCxnSpPr>
        <xdr:cNvPr id="23" name="Conector recto de flecha 22">
          <a:extLst>
            <a:ext uri="{FF2B5EF4-FFF2-40B4-BE49-F238E27FC236}">
              <a16:creationId xmlns:a16="http://schemas.microsoft.com/office/drawing/2014/main" id="{00000000-0008-0000-0300-000017000000}"/>
            </a:ext>
          </a:extLst>
        </xdr:cNvPr>
        <xdr:cNvCxnSpPr/>
      </xdr:nvCxnSpPr>
      <xdr:spPr>
        <a:xfrm>
          <a:off x="5629275" y="1143000"/>
          <a:ext cx="3886200"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8</xdr:col>
      <xdr:colOff>514350</xdr:colOff>
      <xdr:row>4</xdr:row>
      <xdr:rowOff>79375</xdr:rowOff>
    </xdr:from>
    <xdr:to>
      <xdr:col>9</xdr:col>
      <xdr:colOff>1162050</xdr:colOff>
      <xdr:row>4</xdr:row>
      <xdr:rowOff>79375</xdr:rowOff>
    </xdr:to>
    <xdr:cxnSp macro="">
      <xdr:nvCxnSpPr>
        <xdr:cNvPr id="24" name="Conector recto de flecha 23">
          <a:extLst>
            <a:ext uri="{FF2B5EF4-FFF2-40B4-BE49-F238E27FC236}">
              <a16:creationId xmlns:a16="http://schemas.microsoft.com/office/drawing/2014/main" id="{00000000-0008-0000-0300-000018000000}"/>
            </a:ext>
          </a:extLst>
        </xdr:cNvPr>
        <xdr:cNvCxnSpPr/>
      </xdr:nvCxnSpPr>
      <xdr:spPr>
        <a:xfrm>
          <a:off x="15944850" y="841375"/>
          <a:ext cx="3057525" cy="0"/>
        </a:xfrm>
        <a:prstGeom prst="straightConnector1">
          <a:avLst/>
        </a:prstGeom>
        <a:ln w="38100">
          <a:solidFill>
            <a:srgbClr val="FF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104776</xdr:colOff>
      <xdr:row>6</xdr:row>
      <xdr:rowOff>57151</xdr:rowOff>
    </xdr:from>
    <xdr:to>
      <xdr:col>2</xdr:col>
      <xdr:colOff>714375</xdr:colOff>
      <xdr:row>7</xdr:row>
      <xdr:rowOff>171451</xdr:rowOff>
    </xdr:to>
    <xdr:sp macro="" textlink="">
      <xdr:nvSpPr>
        <xdr:cNvPr id="25" name="CuadroTexto 24">
          <a:extLst>
            <a:ext uri="{FF2B5EF4-FFF2-40B4-BE49-F238E27FC236}">
              <a16:creationId xmlns:a16="http://schemas.microsoft.com/office/drawing/2014/main" id="{00000000-0008-0000-0300-000019000000}"/>
            </a:ext>
          </a:extLst>
        </xdr:cNvPr>
        <xdr:cNvSpPr txBox="1"/>
      </xdr:nvSpPr>
      <xdr:spPr>
        <a:xfrm>
          <a:off x="5610226" y="1200151"/>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2</a:t>
          </a:r>
          <a:endParaRPr lang="es-ES" sz="1800" b="1"/>
        </a:p>
      </xdr:txBody>
    </xdr:sp>
    <xdr:clientData/>
  </xdr:twoCellAnchor>
  <xdr:twoCellAnchor>
    <xdr:from>
      <xdr:col>9</xdr:col>
      <xdr:colOff>936626</xdr:colOff>
      <xdr:row>4</xdr:row>
      <xdr:rowOff>184151</xdr:rowOff>
    </xdr:from>
    <xdr:to>
      <xdr:col>9</xdr:col>
      <xdr:colOff>1546225</xdr:colOff>
      <xdr:row>6</xdr:row>
      <xdr:rowOff>107951</xdr:rowOff>
    </xdr:to>
    <xdr:sp macro="" textlink="">
      <xdr:nvSpPr>
        <xdr:cNvPr id="26" name="CuadroTexto 25">
          <a:extLst>
            <a:ext uri="{FF2B5EF4-FFF2-40B4-BE49-F238E27FC236}">
              <a16:creationId xmlns:a16="http://schemas.microsoft.com/office/drawing/2014/main" id="{00000000-0008-0000-0300-00001A000000}"/>
            </a:ext>
          </a:extLst>
        </xdr:cNvPr>
        <xdr:cNvSpPr txBox="1"/>
      </xdr:nvSpPr>
      <xdr:spPr>
        <a:xfrm>
          <a:off x="18776951" y="946151"/>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3</a:t>
          </a:r>
          <a:endParaRPr lang="es-ES" sz="1800" b="1"/>
        </a:p>
      </xdr:txBody>
    </xdr:sp>
    <xdr:clientData/>
  </xdr:twoCellAnchor>
  <xdr:twoCellAnchor>
    <xdr:from>
      <xdr:col>2</xdr:col>
      <xdr:colOff>28575</xdr:colOff>
      <xdr:row>1</xdr:row>
      <xdr:rowOff>85725</xdr:rowOff>
    </xdr:from>
    <xdr:to>
      <xdr:col>2</xdr:col>
      <xdr:colOff>638174</xdr:colOff>
      <xdr:row>3</xdr:row>
      <xdr:rowOff>9525</xdr:rowOff>
    </xdr:to>
    <xdr:sp macro="" textlink="">
      <xdr:nvSpPr>
        <xdr:cNvPr id="27" name="CuadroTexto 26">
          <a:extLst>
            <a:ext uri="{FF2B5EF4-FFF2-40B4-BE49-F238E27FC236}">
              <a16:creationId xmlns:a16="http://schemas.microsoft.com/office/drawing/2014/main" id="{00000000-0008-0000-0300-00001B000000}"/>
            </a:ext>
          </a:extLst>
        </xdr:cNvPr>
        <xdr:cNvSpPr txBox="1"/>
      </xdr:nvSpPr>
      <xdr:spPr>
        <a:xfrm>
          <a:off x="5534025" y="276225"/>
          <a:ext cx="609599"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800" b="1"/>
            <a:t>F</a:t>
          </a:r>
          <a:r>
            <a:rPr lang="es-ES" sz="1100" b="1"/>
            <a:t>1</a:t>
          </a:r>
          <a:endParaRPr lang="es-ES" sz="1800" b="1"/>
        </a:p>
      </xdr:txBody>
    </xdr:sp>
    <xdr:clientData/>
  </xdr:twoCellAnchor>
  <xdr:twoCellAnchor>
    <xdr:from>
      <xdr:col>2</xdr:col>
      <xdr:colOff>136525</xdr:colOff>
      <xdr:row>3</xdr:row>
      <xdr:rowOff>88900</xdr:rowOff>
    </xdr:from>
    <xdr:to>
      <xdr:col>4</xdr:col>
      <xdr:colOff>22225</xdr:colOff>
      <xdr:row>3</xdr:row>
      <xdr:rowOff>88900</xdr:rowOff>
    </xdr:to>
    <xdr:cxnSp macro="">
      <xdr:nvCxnSpPr>
        <xdr:cNvPr id="28" name="Conector recto de flecha 27">
          <a:extLst>
            <a:ext uri="{FF2B5EF4-FFF2-40B4-BE49-F238E27FC236}">
              <a16:creationId xmlns:a16="http://schemas.microsoft.com/office/drawing/2014/main" id="{00000000-0008-0000-0300-00001C000000}"/>
            </a:ext>
          </a:extLst>
        </xdr:cNvPr>
        <xdr:cNvCxnSpPr/>
      </xdr:nvCxnSpPr>
      <xdr:spPr>
        <a:xfrm>
          <a:off x="5641975" y="660400"/>
          <a:ext cx="3886200" cy="0"/>
        </a:xfrm>
        <a:prstGeom prst="straightConnector1">
          <a:avLst/>
        </a:prstGeom>
        <a:ln w="38100">
          <a:solidFill>
            <a:srgbClr val="FF0000"/>
          </a:solidFill>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0</xdr:col>
      <xdr:colOff>898071</xdr:colOff>
      <xdr:row>62</xdr:row>
      <xdr:rowOff>122464</xdr:rowOff>
    </xdr:from>
    <xdr:to>
      <xdr:col>0</xdr:col>
      <xdr:colOff>3988530</xdr:colOff>
      <xdr:row>65</xdr:row>
      <xdr:rowOff>149679</xdr:rowOff>
    </xdr:to>
    <mc:AlternateContent xmlns:mc="http://schemas.openxmlformats.org/markup-compatibility/2006" xmlns:a14="http://schemas.microsoft.com/office/drawing/2010/main">
      <mc:Choice Requires="a14">
        <xdr:sp macro="" textlink="">
          <xdr:nvSpPr>
            <xdr:cNvPr id="31" name="CuadroTexto 30">
              <a:extLst>
                <a:ext uri="{FF2B5EF4-FFF2-40B4-BE49-F238E27FC236}">
                  <a16:creationId xmlns:a16="http://schemas.microsoft.com/office/drawing/2014/main" id="{00000000-0008-0000-0300-00001F000000}"/>
                </a:ext>
              </a:extLst>
            </xdr:cNvPr>
            <xdr:cNvSpPr txBox="1"/>
          </xdr:nvSpPr>
          <xdr:spPr>
            <a:xfrm>
              <a:off x="898071" y="10409464"/>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l-GR" sz="1100" i="1">
                            <a:latin typeface="Cambria Math" panose="02040503050406030204" pitchFamily="18" charset="0"/>
                          </a:rPr>
                          <m:t>𝛼</m:t>
                        </m:r>
                        <m:r>
                          <a:rPr lang="es-ES" sz="1100" b="0" i="1">
                            <a:latin typeface="Cambria Math" panose="02040503050406030204" pitchFamily="18" charset="0"/>
                          </a:rPr>
                          <m:t>𝑜</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𝐻</m:t>
                        </m:r>
                      </m:e>
                      <m:sub>
                        <m:r>
                          <a:rPr lang="el-GR" sz="1100" b="0" i="1">
                            <a:latin typeface="Cambria Math" panose="02040503050406030204" pitchFamily="18" charset="0"/>
                          </a:rPr>
                          <m:t>𝛼</m:t>
                        </m:r>
                      </m:sub>
                    </m:sSub>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rPr>
                          <m:t>𝑀</m:t>
                        </m:r>
                      </m:num>
                      <m:den>
                        <m:sSub>
                          <m:sSubPr>
                            <m:ctrlPr>
                              <a:rPr lang="es-ES" sz="1100" b="0" i="1">
                                <a:latin typeface="Cambria Math" panose="02040503050406030204" pitchFamily="18" charset="0"/>
                              </a:rPr>
                            </m:ctrlPr>
                          </m:sSubPr>
                          <m:e>
                            <m:r>
                              <a:rPr lang="es-ES" sz="1100" b="0" i="1">
                                <a:latin typeface="Cambria Math" panose="02040503050406030204" pitchFamily="18" charset="0"/>
                              </a:rPr>
                              <m:t>𝑉</m:t>
                            </m:r>
                          </m:e>
                          <m:sub>
                            <m:r>
                              <a:rPr lang="es-ES" sz="1100" b="0" i="1">
                                <a:latin typeface="Cambria Math" panose="02040503050406030204" pitchFamily="18" charset="0"/>
                              </a:rPr>
                              <m:t>𝑔</m:t>
                            </m:r>
                          </m:sub>
                        </m:sSub>
                      </m:den>
                    </m:f>
                    <m:r>
                      <a:rPr lang="es-ES" sz="1100" b="0" i="1">
                        <a:latin typeface="Cambria Math" panose="02040503050406030204" pitchFamily="18" charset="0"/>
                      </a:rPr>
                      <m:t>∗(</m:t>
                    </m:r>
                    <m:r>
                      <a:rPr lang="el-GR" sz="1100" b="0" i="1">
                        <a:latin typeface="Cambria Math" panose="02040503050406030204" pitchFamily="18" charset="0"/>
                      </a:rPr>
                      <m:t>𝛼</m:t>
                    </m:r>
                    <m:r>
                      <a:rPr lang="es-ES" sz="1100" b="0" i="1">
                        <a:latin typeface="Cambria Math" panose="02040503050406030204" pitchFamily="18" charset="0"/>
                      </a:rPr>
                      <m:t>𝑜</m:t>
                    </m:r>
                    <m:r>
                      <a:rPr lang="es-ES" sz="1100" b="0" i="1">
                        <a:latin typeface="Cambria Math" panose="02040503050406030204" pitchFamily="18" charset="0"/>
                      </a:rPr>
                      <m:t>−</m:t>
                    </m:r>
                    <m:r>
                      <a:rPr lang="el-GR" sz="1100" b="0" i="1">
                        <a:latin typeface="Cambria Math" panose="02040503050406030204" pitchFamily="18" charset="0"/>
                      </a:rPr>
                      <m:t>𝛼</m:t>
                    </m:r>
                    <m:r>
                      <a:rPr lang="es-ES" sz="1100" b="0" i="1">
                        <a:latin typeface="Cambria Math" panose="02040503050406030204" pitchFamily="18" charset="0"/>
                      </a:rPr>
                      <m:t>)</m:t>
                    </m:r>
                  </m:oMath>
                </m:oMathPara>
              </a14:m>
              <a:endParaRPr lang="es-ES" sz="1100"/>
            </a:p>
          </xdr:txBody>
        </xdr:sp>
      </mc:Choice>
      <mc:Fallback xmlns="">
        <xdr:sp macro="" textlink="">
          <xdr:nvSpPr>
            <xdr:cNvPr id="31" name="CuadroTexto 30">
              <a:extLst>
                <a:ext uri="{FF2B5EF4-FFF2-40B4-BE49-F238E27FC236}">
                  <a16:creationId xmlns:a16="http://schemas.microsoft.com/office/drawing/2014/main" id="{00000000-0008-0000-0900-000009000000}"/>
                </a:ext>
              </a:extLst>
            </xdr:cNvPr>
            <xdr:cNvSpPr txBox="1"/>
          </xdr:nvSpPr>
          <xdr:spPr>
            <a:xfrm>
              <a:off x="898071" y="10409464"/>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0">
                  <a:latin typeface="Cambria Math" panose="02040503050406030204" pitchFamily="18" charset="0"/>
                </a:rPr>
                <a:t>𝑑</a:t>
              </a:r>
              <a:r>
                <a:rPr lang="el-GR" sz="1100" i="0">
                  <a:latin typeface="Cambria Math" panose="02040503050406030204" pitchFamily="18" charset="0"/>
                </a:rPr>
                <a:t>𝛼</a:t>
              </a:r>
              <a:r>
                <a:rPr lang="es-ES" sz="1100" b="0" i="0">
                  <a:latin typeface="Cambria Math" panose="02040503050406030204" pitchFamily="18" charset="0"/>
                </a:rPr>
                <a:t>𝑜/</a:t>
              </a:r>
              <a:r>
                <a:rPr lang="es-ES" sz="1100" i="0">
                  <a:latin typeface="Cambria Math" panose="02040503050406030204" pitchFamily="18" charset="0"/>
                </a:rPr>
                <a:t>𝑑</a:t>
              </a:r>
              <a:r>
                <a:rPr lang="es-ES" sz="1100" b="0" i="0">
                  <a:latin typeface="Cambria Math" panose="02040503050406030204" pitchFamily="18" charset="0"/>
                </a:rPr>
                <a:t>𝑡=−𝐻_</a:t>
              </a:r>
              <a:r>
                <a:rPr lang="el-GR" sz="1100" b="0" i="0">
                  <a:latin typeface="Cambria Math" panose="02040503050406030204" pitchFamily="18" charset="0"/>
                </a:rPr>
                <a:t>𝛼</a:t>
              </a:r>
              <a:r>
                <a:rPr lang="es-ES" sz="1100" b="0" i="0">
                  <a:latin typeface="Cambria Math" panose="02040503050406030204" pitchFamily="18" charset="0"/>
                </a:rPr>
                <a:t>∗𝑀/𝑉_𝑔 ∗(</a:t>
              </a:r>
              <a:r>
                <a:rPr lang="el-GR" sz="1100" b="0" i="0">
                  <a:latin typeface="Cambria Math" panose="02040503050406030204" pitchFamily="18" charset="0"/>
                </a:rPr>
                <a:t>𝛼</a:t>
              </a:r>
              <a:r>
                <a:rPr lang="es-ES" sz="1100" b="0" i="0">
                  <a:latin typeface="Cambria Math" panose="02040503050406030204" pitchFamily="18" charset="0"/>
                </a:rPr>
                <a:t>𝑜−</a:t>
              </a:r>
              <a:r>
                <a:rPr lang="el-GR" sz="1100" b="0" i="0">
                  <a:latin typeface="Cambria Math" panose="02040503050406030204" pitchFamily="18" charset="0"/>
                </a:rPr>
                <a:t>𝛼</a:t>
              </a:r>
              <a:r>
                <a:rPr lang="es-ES" sz="1100" b="0" i="0">
                  <a:latin typeface="Cambria Math" panose="02040503050406030204" pitchFamily="18" charset="0"/>
                </a:rPr>
                <a:t>)</a:t>
              </a:r>
              <a:endParaRPr lang="es-ES" sz="1100"/>
            </a:p>
          </xdr:txBody>
        </xdr:sp>
      </mc:Fallback>
    </mc:AlternateContent>
    <xdr:clientData/>
  </xdr:twoCellAnchor>
  <xdr:twoCellAnchor>
    <xdr:from>
      <xdr:col>0</xdr:col>
      <xdr:colOff>4612822</xdr:colOff>
      <xdr:row>62</xdr:row>
      <xdr:rowOff>122465</xdr:rowOff>
    </xdr:from>
    <xdr:to>
      <xdr:col>2</xdr:col>
      <xdr:colOff>205745</xdr:colOff>
      <xdr:row>65</xdr:row>
      <xdr:rowOff>149680</xdr:rowOff>
    </xdr:to>
    <mc:AlternateContent xmlns:mc="http://schemas.openxmlformats.org/markup-compatibility/2006" xmlns:a14="http://schemas.microsoft.com/office/drawing/2010/main">
      <mc:Choice Requires="a14">
        <xdr:sp macro="" textlink="">
          <xdr:nvSpPr>
            <xdr:cNvPr id="33" name="CuadroTexto 32">
              <a:extLst>
                <a:ext uri="{FF2B5EF4-FFF2-40B4-BE49-F238E27FC236}">
                  <a16:creationId xmlns:a16="http://schemas.microsoft.com/office/drawing/2014/main" id="{00000000-0008-0000-0300-000021000000}"/>
                </a:ext>
              </a:extLst>
            </xdr:cNvPr>
            <xdr:cNvSpPr txBox="1"/>
          </xdr:nvSpPr>
          <xdr:spPr>
            <a:xfrm>
              <a:off x="4612822" y="12123965"/>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l-GR" sz="1100" i="1">
                            <a:latin typeface="Cambria Math" panose="02040503050406030204" pitchFamily="18" charset="0"/>
                          </a:rPr>
                          <m:t>𝛼</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𝐻</m:t>
                        </m:r>
                      </m:e>
                      <m:sub>
                        <m:r>
                          <a:rPr lang="el-GR" sz="1100" b="0" i="1">
                            <a:latin typeface="Cambria Math" panose="02040503050406030204" pitchFamily="18" charset="0"/>
                          </a:rPr>
                          <m:t>𝛼</m:t>
                        </m:r>
                      </m:sub>
                    </m:sSub>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rPr>
                          <m:t>𝑀</m:t>
                        </m:r>
                      </m:num>
                      <m:den>
                        <m:r>
                          <a:rPr lang="es-ES" sz="1100" b="0" i="1">
                            <a:latin typeface="Cambria Math" panose="02040503050406030204" pitchFamily="18" charset="0"/>
                          </a:rPr>
                          <m:t>𝑉</m:t>
                        </m:r>
                      </m:den>
                    </m:f>
                    <m:r>
                      <a:rPr lang="es-ES" sz="1100" b="0" i="1">
                        <a:latin typeface="Cambria Math" panose="02040503050406030204" pitchFamily="18" charset="0"/>
                      </a:rPr>
                      <m:t>∗</m:t>
                    </m:r>
                    <m:d>
                      <m:dPr>
                        <m:ctrlPr>
                          <a:rPr lang="es-ES" sz="1100" b="0" i="1">
                            <a:latin typeface="Cambria Math" panose="02040503050406030204" pitchFamily="18" charset="0"/>
                          </a:rPr>
                        </m:ctrlPr>
                      </m:dPr>
                      <m:e>
                        <m:r>
                          <a:rPr lang="el-GR" sz="1100" b="0" i="1">
                            <a:latin typeface="Cambria Math" panose="02040503050406030204" pitchFamily="18" charset="0"/>
                          </a:rPr>
                          <m:t>𝛼</m:t>
                        </m:r>
                        <m:r>
                          <a:rPr lang="es-ES" sz="1100" b="0" i="1">
                            <a:latin typeface="Cambria Math" panose="02040503050406030204" pitchFamily="18" charset="0"/>
                          </a:rPr>
                          <m:t>𝑜</m:t>
                        </m:r>
                        <m:r>
                          <a:rPr lang="es-ES" sz="1100" b="0" i="1">
                            <a:latin typeface="Cambria Math" panose="02040503050406030204" pitchFamily="18" charset="0"/>
                          </a:rPr>
                          <m:t>−</m:t>
                        </m:r>
                        <m:r>
                          <a:rPr lang="el-GR" sz="1100" b="0" i="1">
                            <a:latin typeface="Cambria Math" panose="02040503050406030204" pitchFamily="18" charset="0"/>
                          </a:rPr>
                          <m:t>𝛼</m:t>
                        </m:r>
                      </m:e>
                    </m:d>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𝑘</m:t>
                        </m:r>
                      </m:e>
                      <m:sub>
                        <m:r>
                          <a:rPr lang="el-GR" sz="1100" b="0" i="1">
                            <a:solidFill>
                              <a:schemeClr val="dk1"/>
                            </a:solidFill>
                            <a:effectLst/>
                            <a:latin typeface="Cambria Math" panose="02040503050406030204" pitchFamily="18" charset="0"/>
                            <a:ea typeface="+mn-ea"/>
                            <a:cs typeface="+mn-cs"/>
                          </a:rPr>
                          <m:t>𝛼</m:t>
                        </m:r>
                      </m:sub>
                    </m:sSub>
                    <m:d>
                      <m:dPr>
                        <m:ctrlPr>
                          <a:rPr lang="es-ES" sz="1100" b="0" i="1">
                            <a:latin typeface="Cambria Math" panose="02040503050406030204" pitchFamily="18" charset="0"/>
                          </a:rPr>
                        </m:ctrlPr>
                      </m:dPr>
                      <m:e>
                        <m:r>
                          <a:rPr lang="es-ES" sz="1100" b="0" i="1">
                            <a:latin typeface="Cambria Math" panose="02040503050406030204" pitchFamily="18" charset="0"/>
                          </a:rPr>
                          <m:t>𝑇</m:t>
                        </m:r>
                      </m:e>
                    </m:d>
                    <m:r>
                      <a:rPr lang="es-ES" sz="1100" b="0" i="1">
                        <a:latin typeface="Cambria Math" panose="02040503050406030204" pitchFamily="18" charset="0"/>
                      </a:rPr>
                      <m:t>∗</m:t>
                    </m:r>
                    <m:r>
                      <a:rPr lang="el-GR" sz="1100" b="0" i="1">
                        <a:solidFill>
                          <a:schemeClr val="dk1"/>
                        </a:solidFill>
                        <a:effectLst/>
                        <a:latin typeface="Cambria Math" panose="02040503050406030204" pitchFamily="18" charset="0"/>
                        <a:ea typeface="+mn-ea"/>
                        <a:cs typeface="+mn-cs"/>
                      </a:rPr>
                      <m:t>𝛼</m:t>
                    </m:r>
                  </m:oMath>
                </m:oMathPara>
              </a14:m>
              <a:endParaRPr lang="es-ES" sz="1100"/>
            </a:p>
          </xdr:txBody>
        </xdr:sp>
      </mc:Choice>
      <mc:Fallback xmlns="">
        <xdr:sp macro="" textlink="">
          <xdr:nvSpPr>
            <xdr:cNvPr id="33" name="CuadroTexto 32">
              <a:extLst>
                <a:ext uri="{FF2B5EF4-FFF2-40B4-BE49-F238E27FC236}">
                  <a16:creationId xmlns:a16="http://schemas.microsoft.com/office/drawing/2014/main" id="{00000000-0008-0000-0900-000009000000}"/>
                </a:ext>
              </a:extLst>
            </xdr:cNvPr>
            <xdr:cNvSpPr txBox="1"/>
          </xdr:nvSpPr>
          <xdr:spPr>
            <a:xfrm>
              <a:off x="4612822" y="12123965"/>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0">
                  <a:latin typeface="Cambria Math" panose="02040503050406030204" pitchFamily="18" charset="0"/>
                </a:rPr>
                <a:t>𝑑</a:t>
              </a:r>
              <a:r>
                <a:rPr lang="el-GR" sz="1100" i="0">
                  <a:latin typeface="Cambria Math" panose="02040503050406030204" pitchFamily="18" charset="0"/>
                </a:rPr>
                <a:t>𝛼</a:t>
              </a:r>
              <a:r>
                <a:rPr lang="es-ES" sz="1100" i="0">
                  <a:latin typeface="Cambria Math" panose="02040503050406030204" pitchFamily="18" charset="0"/>
                </a:rPr>
                <a:t>/𝑑</a:t>
              </a:r>
              <a:r>
                <a:rPr lang="es-ES" sz="1100" b="0" i="0">
                  <a:latin typeface="Cambria Math" panose="02040503050406030204" pitchFamily="18" charset="0"/>
                </a:rPr>
                <a:t>𝑡=𝐻_</a:t>
              </a:r>
              <a:r>
                <a:rPr lang="el-GR" sz="1100" b="0" i="0">
                  <a:latin typeface="Cambria Math" panose="02040503050406030204" pitchFamily="18" charset="0"/>
                </a:rPr>
                <a:t>𝛼</a:t>
              </a:r>
              <a:r>
                <a:rPr lang="es-ES" sz="1100" b="0" i="0">
                  <a:latin typeface="Cambria Math" panose="02040503050406030204" pitchFamily="18" charset="0"/>
                </a:rPr>
                <a:t>∗𝑀/𝑉∗(</a:t>
              </a:r>
              <a:r>
                <a:rPr lang="el-GR" sz="1100" b="0" i="0">
                  <a:latin typeface="Cambria Math" panose="02040503050406030204" pitchFamily="18" charset="0"/>
                </a:rPr>
                <a:t>𝛼</a:t>
              </a:r>
              <a:r>
                <a:rPr lang="es-ES" sz="1100" b="0" i="0">
                  <a:latin typeface="Cambria Math" panose="02040503050406030204" pitchFamily="18" charset="0"/>
                </a:rPr>
                <a:t>𝑜−</a:t>
              </a:r>
              <a:r>
                <a:rPr lang="el-GR" sz="1100" b="0" i="0">
                  <a:latin typeface="Cambria Math" panose="02040503050406030204" pitchFamily="18" charset="0"/>
                </a:rPr>
                <a:t>𝛼</a:t>
              </a:r>
              <a:r>
                <a:rPr lang="es-ES" sz="1100" b="0" i="0">
                  <a:latin typeface="Cambria Math" panose="02040503050406030204" pitchFamily="18" charset="0"/>
                </a:rPr>
                <a:t>)−𝑘_</a:t>
              </a:r>
              <a:r>
                <a:rPr lang="el-GR" sz="1100" b="0" i="0">
                  <a:solidFill>
                    <a:schemeClr val="dk1"/>
                  </a:solidFill>
                  <a:effectLst/>
                  <a:latin typeface="+mn-lt"/>
                  <a:ea typeface="+mn-ea"/>
                  <a:cs typeface="+mn-cs"/>
                </a:rPr>
                <a:t>𝛼</a:t>
              </a:r>
              <a:r>
                <a:rPr lang="es-ES" sz="1100" b="0" i="0">
                  <a:solidFill>
                    <a:schemeClr val="dk1"/>
                  </a:solidFill>
                  <a:effectLst/>
                  <a:latin typeface="Cambria Math" panose="02040503050406030204" pitchFamily="18" charset="0"/>
                  <a:ea typeface="+mn-ea"/>
                  <a:cs typeface="+mn-cs"/>
                </a:rPr>
                <a:t> </a:t>
              </a:r>
              <a:r>
                <a:rPr lang="es-ES" sz="1100" b="0" i="0">
                  <a:latin typeface="Cambria Math" panose="02040503050406030204" pitchFamily="18" charset="0"/>
                </a:rPr>
                <a:t>(𝑇)∗</a:t>
              </a:r>
              <a:r>
                <a:rPr lang="el-GR" sz="1100" b="0" i="0">
                  <a:solidFill>
                    <a:schemeClr val="dk1"/>
                  </a:solidFill>
                  <a:effectLst/>
                  <a:latin typeface="+mn-lt"/>
                  <a:ea typeface="+mn-ea"/>
                  <a:cs typeface="+mn-cs"/>
                </a:rPr>
                <a:t>𝛼</a:t>
              </a:r>
              <a:endParaRPr lang="es-ES" sz="1100"/>
            </a:p>
          </xdr:txBody>
        </xdr:sp>
      </mc:Fallback>
    </mc:AlternateContent>
    <xdr:clientData/>
  </xdr:twoCellAnchor>
  <xdr:twoCellAnchor>
    <xdr:from>
      <xdr:col>0</xdr:col>
      <xdr:colOff>884464</xdr:colOff>
      <xdr:row>68</xdr:row>
      <xdr:rowOff>149678</xdr:rowOff>
    </xdr:from>
    <xdr:to>
      <xdr:col>0</xdr:col>
      <xdr:colOff>3974923</xdr:colOff>
      <xdr:row>71</xdr:row>
      <xdr:rowOff>176893</xdr:rowOff>
    </xdr:to>
    <mc:AlternateContent xmlns:mc="http://schemas.openxmlformats.org/markup-compatibility/2006" xmlns:a14="http://schemas.microsoft.com/office/drawing/2010/main">
      <mc:Choice Requires="a14">
        <xdr:sp macro="" textlink="">
          <xdr:nvSpPr>
            <xdr:cNvPr id="35" name="CuadroTexto 34">
              <a:extLst>
                <a:ext uri="{FF2B5EF4-FFF2-40B4-BE49-F238E27FC236}">
                  <a16:creationId xmlns:a16="http://schemas.microsoft.com/office/drawing/2014/main" id="{00000000-0008-0000-0300-000023000000}"/>
                </a:ext>
              </a:extLst>
            </xdr:cNvPr>
            <xdr:cNvSpPr txBox="1"/>
          </xdr:nvSpPr>
          <xdr:spPr>
            <a:xfrm>
              <a:off x="884464" y="13294178"/>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l-GR" sz="1100" b="0" i="1">
                            <a:latin typeface="Cambria Math" panose="02040503050406030204" pitchFamily="18" charset="0"/>
                          </a:rPr>
                          <m:t>𝛽</m:t>
                        </m:r>
                        <m:r>
                          <a:rPr lang="es-ES" sz="1100" b="0" i="1">
                            <a:latin typeface="Cambria Math" panose="02040503050406030204" pitchFamily="18" charset="0"/>
                          </a:rPr>
                          <m:t>𝑜</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𝐻</m:t>
                        </m:r>
                      </m:e>
                      <m:sub>
                        <m:r>
                          <a:rPr lang="el-GR" sz="1100" b="0" i="1">
                            <a:latin typeface="Cambria Math" panose="02040503050406030204" pitchFamily="18" charset="0"/>
                          </a:rPr>
                          <m:t>𝛽</m:t>
                        </m:r>
                      </m:sub>
                    </m:sSub>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rPr>
                          <m:t>𝑀</m:t>
                        </m:r>
                      </m:num>
                      <m:den>
                        <m:sSub>
                          <m:sSubPr>
                            <m:ctrlPr>
                              <a:rPr lang="es-ES" sz="1100" b="0" i="1">
                                <a:latin typeface="Cambria Math" panose="02040503050406030204" pitchFamily="18" charset="0"/>
                              </a:rPr>
                            </m:ctrlPr>
                          </m:sSubPr>
                          <m:e>
                            <m:r>
                              <a:rPr lang="es-ES" sz="1100" b="0" i="1">
                                <a:latin typeface="Cambria Math" panose="02040503050406030204" pitchFamily="18" charset="0"/>
                              </a:rPr>
                              <m:t>𝑉</m:t>
                            </m:r>
                          </m:e>
                          <m:sub>
                            <m:r>
                              <a:rPr lang="es-ES" sz="1100" b="0" i="1">
                                <a:latin typeface="Cambria Math" panose="02040503050406030204" pitchFamily="18" charset="0"/>
                              </a:rPr>
                              <m:t>𝑔</m:t>
                            </m:r>
                          </m:sub>
                        </m:sSub>
                      </m:den>
                    </m:f>
                    <m:r>
                      <a:rPr lang="es-ES" sz="1100" b="0" i="1">
                        <a:latin typeface="Cambria Math" panose="02040503050406030204" pitchFamily="18" charset="0"/>
                      </a:rPr>
                      <m:t>∗</m:t>
                    </m:r>
                    <m:d>
                      <m:dPr>
                        <m:ctrlPr>
                          <a:rPr lang="es-ES" sz="1100" b="0" i="1">
                            <a:latin typeface="Cambria Math" panose="02040503050406030204" pitchFamily="18" charset="0"/>
                          </a:rPr>
                        </m:ctrlPr>
                      </m:dPr>
                      <m:e>
                        <m:r>
                          <a:rPr lang="el-GR" sz="1100" b="0" i="1">
                            <a:latin typeface="Cambria Math" panose="02040503050406030204" pitchFamily="18" charset="0"/>
                          </a:rPr>
                          <m:t>𝛽</m:t>
                        </m:r>
                        <m:r>
                          <a:rPr lang="es-ES" sz="1100" b="0" i="1">
                            <a:latin typeface="Cambria Math" panose="02040503050406030204" pitchFamily="18" charset="0"/>
                          </a:rPr>
                          <m:t>𝑜</m:t>
                        </m:r>
                        <m:r>
                          <a:rPr lang="es-ES" sz="1100" b="0" i="1">
                            <a:latin typeface="Cambria Math" panose="02040503050406030204" pitchFamily="18" charset="0"/>
                          </a:rPr>
                          <m:t>−</m:t>
                        </m:r>
                        <m:r>
                          <a:rPr lang="el-GR" sz="1100" b="0" i="1">
                            <a:latin typeface="Cambria Math" panose="02040503050406030204" pitchFamily="18" charset="0"/>
                          </a:rPr>
                          <m:t>𝛽</m:t>
                        </m:r>
                      </m:e>
                    </m:d>
                  </m:oMath>
                </m:oMathPara>
              </a14:m>
              <a:endParaRPr lang="es-ES" sz="1100" b="0"/>
            </a:p>
            <a:p>
              <a:endParaRPr lang="es-ES" sz="1100"/>
            </a:p>
          </xdr:txBody>
        </xdr:sp>
      </mc:Choice>
      <mc:Fallback xmlns="">
        <xdr:sp macro="" textlink="">
          <xdr:nvSpPr>
            <xdr:cNvPr id="35" name="CuadroTexto 34">
              <a:extLst>
                <a:ext uri="{FF2B5EF4-FFF2-40B4-BE49-F238E27FC236}">
                  <a16:creationId xmlns:a16="http://schemas.microsoft.com/office/drawing/2014/main" id="{00000000-0008-0000-0900-000009000000}"/>
                </a:ext>
              </a:extLst>
            </xdr:cNvPr>
            <xdr:cNvSpPr txBox="1"/>
          </xdr:nvSpPr>
          <xdr:spPr>
            <a:xfrm>
              <a:off x="884464" y="13294178"/>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0">
                  <a:latin typeface="Cambria Math" panose="02040503050406030204" pitchFamily="18" charset="0"/>
                </a:rPr>
                <a:t>𝑑</a:t>
              </a:r>
              <a:r>
                <a:rPr lang="el-GR" sz="1100" b="0" i="0">
                  <a:latin typeface="Cambria Math" panose="02040503050406030204" pitchFamily="18" charset="0"/>
                </a:rPr>
                <a:t>𝛽</a:t>
              </a:r>
              <a:r>
                <a:rPr lang="es-ES" sz="1100" b="0" i="0">
                  <a:latin typeface="Cambria Math" panose="02040503050406030204" pitchFamily="18" charset="0"/>
                </a:rPr>
                <a:t>𝑜/</a:t>
              </a:r>
              <a:r>
                <a:rPr lang="es-ES" sz="1100" i="0">
                  <a:latin typeface="Cambria Math" panose="02040503050406030204" pitchFamily="18" charset="0"/>
                </a:rPr>
                <a:t>𝑑</a:t>
              </a:r>
              <a:r>
                <a:rPr lang="es-ES" sz="1100" b="0" i="0">
                  <a:latin typeface="Cambria Math" panose="02040503050406030204" pitchFamily="18" charset="0"/>
                </a:rPr>
                <a:t>𝑡=−𝐻_</a:t>
              </a:r>
              <a:r>
                <a:rPr lang="el-GR" sz="1100" b="0" i="0">
                  <a:latin typeface="Cambria Math" panose="02040503050406030204" pitchFamily="18" charset="0"/>
                </a:rPr>
                <a:t>𝛽</a:t>
              </a:r>
              <a:r>
                <a:rPr lang="es-ES" sz="1100" b="0" i="0">
                  <a:latin typeface="Cambria Math" panose="02040503050406030204" pitchFamily="18" charset="0"/>
                </a:rPr>
                <a:t>∗𝑀/𝑉_𝑔 ∗(</a:t>
              </a:r>
              <a:r>
                <a:rPr lang="el-GR" sz="1100" b="0" i="0">
                  <a:latin typeface="Cambria Math" panose="02040503050406030204" pitchFamily="18" charset="0"/>
                </a:rPr>
                <a:t>𝛽</a:t>
              </a:r>
              <a:r>
                <a:rPr lang="es-ES" sz="1100" b="0" i="0">
                  <a:latin typeface="Cambria Math" panose="02040503050406030204" pitchFamily="18" charset="0"/>
                </a:rPr>
                <a:t>𝑜−</a:t>
              </a:r>
              <a:r>
                <a:rPr lang="el-GR" sz="1100" b="0" i="0">
                  <a:latin typeface="Cambria Math" panose="02040503050406030204" pitchFamily="18" charset="0"/>
                </a:rPr>
                <a:t>𝛽</a:t>
              </a:r>
              <a:r>
                <a:rPr lang="es-ES" sz="1100" b="0" i="0">
                  <a:latin typeface="Cambria Math" panose="02040503050406030204" pitchFamily="18" charset="0"/>
                </a:rPr>
                <a:t>)</a:t>
              </a:r>
              <a:endParaRPr lang="es-ES" sz="1100" b="0"/>
            </a:p>
            <a:p>
              <a:endParaRPr lang="es-ES" sz="1100"/>
            </a:p>
          </xdr:txBody>
        </xdr:sp>
      </mc:Fallback>
    </mc:AlternateContent>
    <xdr:clientData/>
  </xdr:twoCellAnchor>
  <xdr:twoCellAnchor>
    <xdr:from>
      <xdr:col>0</xdr:col>
      <xdr:colOff>4629150</xdr:colOff>
      <xdr:row>68</xdr:row>
      <xdr:rowOff>152400</xdr:rowOff>
    </xdr:from>
    <xdr:to>
      <xdr:col>2</xdr:col>
      <xdr:colOff>222073</xdr:colOff>
      <xdr:row>71</xdr:row>
      <xdr:rowOff>179615</xdr:rowOff>
    </xdr:to>
    <mc:AlternateContent xmlns:mc="http://schemas.openxmlformats.org/markup-compatibility/2006" xmlns:a14="http://schemas.microsoft.com/office/drawing/2010/main">
      <mc:Choice Requires="a14">
        <xdr:sp macro="" textlink="">
          <xdr:nvSpPr>
            <xdr:cNvPr id="36" name="CuadroTexto 35">
              <a:extLst>
                <a:ext uri="{FF2B5EF4-FFF2-40B4-BE49-F238E27FC236}">
                  <a16:creationId xmlns:a16="http://schemas.microsoft.com/office/drawing/2014/main" id="{00000000-0008-0000-0300-000024000000}"/>
                </a:ext>
              </a:extLst>
            </xdr:cNvPr>
            <xdr:cNvSpPr txBox="1"/>
          </xdr:nvSpPr>
          <xdr:spPr>
            <a:xfrm>
              <a:off x="4629150" y="13296900"/>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l-GR" sz="1100" b="0" i="1">
                            <a:latin typeface="Cambria Math" panose="02040503050406030204" pitchFamily="18" charset="0"/>
                          </a:rPr>
                          <m:t>𝛽</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𝐻</m:t>
                        </m:r>
                      </m:e>
                      <m:sub>
                        <m:r>
                          <a:rPr lang="el-GR" sz="1100" b="0" i="1">
                            <a:latin typeface="Cambria Math" panose="02040503050406030204" pitchFamily="18" charset="0"/>
                          </a:rPr>
                          <m:t>𝛽</m:t>
                        </m:r>
                      </m:sub>
                    </m:sSub>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rPr>
                          <m:t>𝑀</m:t>
                        </m:r>
                      </m:num>
                      <m:den>
                        <m:sSub>
                          <m:sSubPr>
                            <m:ctrlPr>
                              <a:rPr lang="es-ES" sz="1100" b="0" i="1">
                                <a:latin typeface="Cambria Math" panose="02040503050406030204" pitchFamily="18" charset="0"/>
                              </a:rPr>
                            </m:ctrlPr>
                          </m:sSubPr>
                          <m:e>
                            <m:r>
                              <a:rPr lang="es-ES" sz="1100" b="0" i="1">
                                <a:latin typeface="Cambria Math" panose="02040503050406030204" pitchFamily="18" charset="0"/>
                              </a:rPr>
                              <m:t>𝑉</m:t>
                            </m:r>
                          </m:e>
                          <m:sub>
                            <m:r>
                              <a:rPr lang="es-ES" sz="1100" b="0" i="1">
                                <a:latin typeface="Cambria Math" panose="02040503050406030204" pitchFamily="18" charset="0"/>
                              </a:rPr>
                              <m:t>𝑔</m:t>
                            </m:r>
                          </m:sub>
                        </m:sSub>
                      </m:den>
                    </m:f>
                    <m:r>
                      <a:rPr lang="es-ES" sz="1100" b="0" i="1">
                        <a:latin typeface="Cambria Math" panose="02040503050406030204" pitchFamily="18" charset="0"/>
                      </a:rPr>
                      <m:t>∗</m:t>
                    </m:r>
                    <m:d>
                      <m:dPr>
                        <m:ctrlPr>
                          <a:rPr lang="es-ES" sz="1100" b="0" i="1">
                            <a:latin typeface="Cambria Math" panose="02040503050406030204" pitchFamily="18" charset="0"/>
                          </a:rPr>
                        </m:ctrlPr>
                      </m:dPr>
                      <m:e>
                        <m:r>
                          <a:rPr lang="el-GR" sz="1100" b="0" i="1">
                            <a:latin typeface="Cambria Math" panose="02040503050406030204" pitchFamily="18" charset="0"/>
                          </a:rPr>
                          <m:t>𝛽</m:t>
                        </m:r>
                        <m:r>
                          <a:rPr lang="es-ES" sz="1100" b="0" i="1">
                            <a:latin typeface="Cambria Math" panose="02040503050406030204" pitchFamily="18" charset="0"/>
                          </a:rPr>
                          <m:t>𝑜</m:t>
                        </m:r>
                        <m:r>
                          <a:rPr lang="es-ES" sz="1100" b="0" i="1">
                            <a:latin typeface="Cambria Math" panose="02040503050406030204" pitchFamily="18" charset="0"/>
                          </a:rPr>
                          <m:t>−</m:t>
                        </m:r>
                        <m:r>
                          <a:rPr lang="el-GR" sz="1100" b="0" i="1">
                            <a:latin typeface="Cambria Math" panose="02040503050406030204" pitchFamily="18" charset="0"/>
                          </a:rPr>
                          <m:t>𝛽</m:t>
                        </m:r>
                      </m:e>
                    </m:d>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𝑘</m:t>
                        </m:r>
                      </m:e>
                      <m:sub>
                        <m:r>
                          <a:rPr lang="el-GR" sz="1100" b="0" i="1">
                            <a:solidFill>
                              <a:schemeClr val="dk1"/>
                            </a:solidFill>
                            <a:effectLst/>
                            <a:latin typeface="Cambria Math" panose="02040503050406030204" pitchFamily="18" charset="0"/>
                            <a:ea typeface="+mn-ea"/>
                            <a:cs typeface="+mn-cs"/>
                          </a:rPr>
                          <m:t>𝛽</m:t>
                        </m:r>
                      </m:sub>
                    </m:sSub>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r>
                      <a:rPr lang="es-ES" sz="1100" b="0" i="1">
                        <a:solidFill>
                          <a:schemeClr val="dk1"/>
                        </a:solidFill>
                        <a:effectLst/>
                        <a:latin typeface="Cambria Math" panose="02040503050406030204" pitchFamily="18" charset="0"/>
                        <a:ea typeface="+mn-ea"/>
                        <a:cs typeface="+mn-cs"/>
                      </a:rPr>
                      <m:t>∗</m:t>
                    </m:r>
                    <m:r>
                      <a:rPr lang="el-GR" sz="1100" b="0" i="1">
                        <a:solidFill>
                          <a:schemeClr val="dk1"/>
                        </a:solidFill>
                        <a:effectLst/>
                        <a:latin typeface="Cambria Math" panose="02040503050406030204" pitchFamily="18" charset="0"/>
                        <a:ea typeface="+mn-ea"/>
                        <a:cs typeface="+mn-cs"/>
                      </a:rPr>
                      <m:t>𝛽</m:t>
                    </m:r>
                  </m:oMath>
                </m:oMathPara>
              </a14:m>
              <a:endParaRPr lang="es-ES" sz="1100" b="0"/>
            </a:p>
            <a:p>
              <a:endParaRPr lang="es-ES" sz="1100"/>
            </a:p>
          </xdr:txBody>
        </xdr:sp>
      </mc:Choice>
      <mc:Fallback xmlns="">
        <xdr:sp macro="" textlink="">
          <xdr:nvSpPr>
            <xdr:cNvPr id="36" name="CuadroTexto 35">
              <a:extLst>
                <a:ext uri="{FF2B5EF4-FFF2-40B4-BE49-F238E27FC236}">
                  <a16:creationId xmlns:a16="http://schemas.microsoft.com/office/drawing/2014/main" id="{00000000-0008-0000-0900-000009000000}"/>
                </a:ext>
              </a:extLst>
            </xdr:cNvPr>
            <xdr:cNvSpPr txBox="1"/>
          </xdr:nvSpPr>
          <xdr:spPr>
            <a:xfrm>
              <a:off x="4629150" y="13296900"/>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0">
                  <a:latin typeface="Cambria Math" panose="02040503050406030204" pitchFamily="18" charset="0"/>
                </a:rPr>
                <a:t>𝑑</a:t>
              </a:r>
              <a:r>
                <a:rPr lang="el-GR" sz="1100" b="0" i="0">
                  <a:latin typeface="Cambria Math" panose="02040503050406030204" pitchFamily="18" charset="0"/>
                </a:rPr>
                <a:t>𝛽</a:t>
              </a:r>
              <a:r>
                <a:rPr lang="es-ES" sz="1100" b="0" i="0">
                  <a:latin typeface="Cambria Math" panose="02040503050406030204" pitchFamily="18" charset="0"/>
                </a:rPr>
                <a:t>/</a:t>
              </a:r>
              <a:r>
                <a:rPr lang="es-ES" sz="1100" i="0">
                  <a:latin typeface="Cambria Math" panose="02040503050406030204" pitchFamily="18" charset="0"/>
                </a:rPr>
                <a:t>𝑑</a:t>
              </a:r>
              <a:r>
                <a:rPr lang="es-ES" sz="1100" b="0" i="0">
                  <a:latin typeface="Cambria Math" panose="02040503050406030204" pitchFamily="18" charset="0"/>
                </a:rPr>
                <a:t>𝑡=𝐻_</a:t>
              </a:r>
              <a:r>
                <a:rPr lang="el-GR" sz="1100" b="0" i="0">
                  <a:latin typeface="Cambria Math" panose="02040503050406030204" pitchFamily="18" charset="0"/>
                </a:rPr>
                <a:t>𝛽</a:t>
              </a:r>
              <a:r>
                <a:rPr lang="es-ES" sz="1100" b="0" i="0">
                  <a:latin typeface="Cambria Math" panose="02040503050406030204" pitchFamily="18" charset="0"/>
                </a:rPr>
                <a:t>∗𝑀/𝑉_𝑔 ∗(</a:t>
              </a:r>
              <a:r>
                <a:rPr lang="el-GR" sz="1100" b="0" i="0">
                  <a:latin typeface="Cambria Math" panose="02040503050406030204" pitchFamily="18" charset="0"/>
                </a:rPr>
                <a:t>𝛽</a:t>
              </a:r>
              <a:r>
                <a:rPr lang="es-ES" sz="1100" b="0" i="0">
                  <a:latin typeface="Cambria Math" panose="02040503050406030204" pitchFamily="18" charset="0"/>
                </a:rPr>
                <a:t>𝑜−</a:t>
              </a:r>
              <a:r>
                <a:rPr lang="el-GR" sz="1100" b="0" i="0">
                  <a:latin typeface="Cambria Math" panose="02040503050406030204" pitchFamily="18" charset="0"/>
                </a:rPr>
                <a:t>𝛽</a:t>
              </a:r>
              <a:r>
                <a:rPr lang="es-ES" sz="1100" b="0" i="0">
                  <a:latin typeface="Cambria Math" panose="02040503050406030204" pitchFamily="18" charset="0"/>
                </a:rPr>
                <a:t>)−𝑘_</a:t>
              </a:r>
              <a:r>
                <a:rPr lang="el-GR" sz="1100" b="0" i="0">
                  <a:solidFill>
                    <a:schemeClr val="dk1"/>
                  </a:solidFill>
                  <a:effectLst/>
                  <a:latin typeface="+mn-lt"/>
                  <a:ea typeface="+mn-ea"/>
                  <a:cs typeface="+mn-cs"/>
                </a:rPr>
                <a:t>𝛽</a:t>
              </a:r>
              <a:r>
                <a:rPr lang="es-ES" sz="1100" b="0" i="0">
                  <a:solidFill>
                    <a:schemeClr val="dk1"/>
                  </a:solidFill>
                  <a:effectLst/>
                  <a:latin typeface="Cambria Math" panose="02040503050406030204" pitchFamily="18" charset="0"/>
                  <a:ea typeface="+mn-ea"/>
                  <a:cs typeface="+mn-cs"/>
                </a:rPr>
                <a:t> (𝑇)∗</a:t>
              </a:r>
              <a:r>
                <a:rPr lang="el-GR" sz="1100" b="0" i="0">
                  <a:solidFill>
                    <a:schemeClr val="dk1"/>
                  </a:solidFill>
                  <a:effectLst/>
                  <a:latin typeface="+mn-lt"/>
                  <a:ea typeface="+mn-ea"/>
                  <a:cs typeface="+mn-cs"/>
                </a:rPr>
                <a:t>𝛽</a:t>
              </a:r>
              <a:endParaRPr lang="es-ES" sz="1100" b="0"/>
            </a:p>
            <a:p>
              <a:endParaRPr lang="es-ES" sz="1100"/>
            </a:p>
          </xdr:txBody>
        </xdr:sp>
      </mc:Fallback>
    </mc:AlternateContent>
    <xdr:clientData/>
  </xdr:twoCellAnchor>
  <xdr:twoCellAnchor>
    <xdr:from>
      <xdr:col>0</xdr:col>
      <xdr:colOff>832756</xdr:colOff>
      <xdr:row>74</xdr:row>
      <xdr:rowOff>179614</xdr:rowOff>
    </xdr:from>
    <xdr:to>
      <xdr:col>0</xdr:col>
      <xdr:colOff>4340679</xdr:colOff>
      <xdr:row>78</xdr:row>
      <xdr:rowOff>16329</xdr:rowOff>
    </xdr:to>
    <mc:AlternateContent xmlns:mc="http://schemas.openxmlformats.org/markup-compatibility/2006" xmlns:a14="http://schemas.microsoft.com/office/drawing/2010/main">
      <mc:Choice Requires="a14">
        <xdr:sp macro="" textlink="">
          <xdr:nvSpPr>
            <xdr:cNvPr id="37" name="CuadroTexto 36">
              <a:extLst>
                <a:ext uri="{FF2B5EF4-FFF2-40B4-BE49-F238E27FC236}">
                  <a16:creationId xmlns:a16="http://schemas.microsoft.com/office/drawing/2014/main" id="{00000000-0008-0000-0300-000025000000}"/>
                </a:ext>
              </a:extLst>
            </xdr:cNvPr>
            <xdr:cNvSpPr txBox="1"/>
          </xdr:nvSpPr>
          <xdr:spPr>
            <a:xfrm>
              <a:off x="832756" y="14467114"/>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𝑥</m:t>
                        </m:r>
                        <m:r>
                          <a:rPr lang="es-ES" sz="1100" b="0" i="1">
                            <a:latin typeface="Cambria Math" panose="02040503050406030204" pitchFamily="18" charset="0"/>
                          </a:rPr>
                          <m:t>1</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r>
                      <a:rPr lang="el-GR" sz="1100" i="1">
                        <a:solidFill>
                          <a:schemeClr val="dk1"/>
                        </a:solidFill>
                        <a:effectLst/>
                        <a:latin typeface="Cambria Math" panose="02040503050406030204" pitchFamily="18" charset="0"/>
                        <a:ea typeface="+mn-ea"/>
                        <a:cs typeface="+mn-cs"/>
                      </a:rPr>
                      <m:t>𝛼</m:t>
                    </m:r>
                    <m:r>
                      <a:rPr lang="es-ES" sz="1100" b="0" i="1">
                        <a:solidFill>
                          <a:schemeClr val="dk1"/>
                        </a:solidFill>
                        <a:effectLst/>
                        <a:latin typeface="Cambria Math" panose="02040503050406030204" pitchFamily="18" charset="0"/>
                        <a:ea typeface="+mn-ea"/>
                        <a:cs typeface="+mn-cs"/>
                      </a:rPr>
                      <m:t>∗</m:t>
                    </m:r>
                    <m:d>
                      <m:dPr>
                        <m:begChr m:val="["/>
                        <m:endChr m:val="]"/>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𝑥</m:t>
                        </m:r>
                        <m:r>
                          <a:rPr lang="es-ES" sz="1100" b="0" i="1">
                            <a:solidFill>
                              <a:schemeClr val="dk1"/>
                            </a:solidFill>
                            <a:effectLst/>
                            <a:latin typeface="Cambria Math" panose="02040503050406030204" pitchFamily="18" charset="0"/>
                            <a:ea typeface="+mn-ea"/>
                            <a:cs typeface="+mn-cs"/>
                          </a:rPr>
                          <m:t>1−</m:t>
                        </m:r>
                        <m:r>
                          <a:rPr lang="es-ES" sz="1100" b="0" i="1">
                            <a:solidFill>
                              <a:schemeClr val="dk1"/>
                            </a:solidFill>
                            <a:effectLst/>
                            <a:latin typeface="Cambria Math" panose="02040503050406030204" pitchFamily="18" charset="0"/>
                            <a:ea typeface="+mn-ea"/>
                            <a:cs typeface="+mn-cs"/>
                          </a:rPr>
                          <m:t>𝑢</m:t>
                        </m:r>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e>
                    </m:d>
                    <m:r>
                      <a:rPr lang="es-ES" sz="1100" b="0" i="1">
                        <a:solidFill>
                          <a:schemeClr val="dk1"/>
                        </a:solidFill>
                        <a:effectLst/>
                        <a:latin typeface="Cambria Math" panose="02040503050406030204" pitchFamily="18" charset="0"/>
                        <a:ea typeface="+mn-ea"/>
                        <a:cs typeface="+mn-cs"/>
                      </a:rPr>
                      <m:t>∗[0,964∗</m:t>
                    </m:r>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𝐴</m:t>
                        </m:r>
                      </m:e>
                      <m:sub>
                        <m:r>
                          <a:rPr lang="es-ES" sz="1100" b="0" i="1">
                            <a:solidFill>
                              <a:schemeClr val="dk1"/>
                            </a:solidFill>
                            <a:effectLst/>
                            <a:latin typeface="Cambria Math" panose="02040503050406030204" pitchFamily="18" charset="0"/>
                            <a:ea typeface="+mn-ea"/>
                            <a:cs typeface="+mn-cs"/>
                          </a:rPr>
                          <m:t>𝑚𝑎𝑙</m:t>
                        </m:r>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sub>
                    </m:sSub>
                    <m:r>
                      <a:rPr lang="es-ES" sz="1100" b="0" i="1">
                        <a:solidFill>
                          <a:schemeClr val="dk1"/>
                        </a:solidFill>
                        <a:effectLst/>
                        <a:latin typeface="Cambria Math" panose="02040503050406030204" pitchFamily="18" charset="0"/>
                        <a:ea typeface="+mn-ea"/>
                        <a:cs typeface="+mn-cs"/>
                      </a:rPr>
                      <m:t>+</m:t>
                    </m:r>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𝐴</m:t>
                        </m:r>
                      </m:e>
                      <m:sub>
                        <m:r>
                          <a:rPr lang="es-ES" sz="1100" b="0" i="1">
                            <a:solidFill>
                              <a:schemeClr val="dk1"/>
                            </a:solidFill>
                            <a:effectLst/>
                            <a:latin typeface="Cambria Math" panose="02040503050406030204" pitchFamily="18" charset="0"/>
                            <a:ea typeface="+mn-ea"/>
                            <a:cs typeface="+mn-cs"/>
                          </a:rPr>
                          <m:t>𝑑𝑒𝑥</m:t>
                        </m:r>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sub>
                    </m:sSub>
                    <m:r>
                      <a:rPr lang="es-ES" sz="1100" b="0" i="1">
                        <a:solidFill>
                          <a:schemeClr val="dk1"/>
                        </a:solidFill>
                        <a:effectLst/>
                        <a:latin typeface="Cambria Math" panose="02040503050406030204" pitchFamily="18" charset="0"/>
                        <a:ea typeface="+mn-ea"/>
                        <a:cs typeface="+mn-cs"/>
                      </a:rPr>
                      <m:t>]</m:t>
                    </m:r>
                  </m:oMath>
                </m:oMathPara>
              </a14:m>
              <a:endParaRPr lang="es-ES" sz="1100" b="0"/>
            </a:p>
            <a:p>
              <a:endParaRPr lang="es-ES" sz="1100"/>
            </a:p>
          </xdr:txBody>
        </xdr:sp>
      </mc:Choice>
      <mc:Fallback xmlns="">
        <xdr:sp macro="" textlink="">
          <xdr:nvSpPr>
            <xdr:cNvPr id="37" name="CuadroTexto 36">
              <a:extLst>
                <a:ext uri="{FF2B5EF4-FFF2-40B4-BE49-F238E27FC236}">
                  <a16:creationId xmlns:a16="http://schemas.microsoft.com/office/drawing/2014/main" id="{00000000-0008-0000-0900-000009000000}"/>
                </a:ext>
              </a:extLst>
            </xdr:cNvPr>
            <xdr:cNvSpPr txBox="1"/>
          </xdr:nvSpPr>
          <xdr:spPr>
            <a:xfrm>
              <a:off x="832756" y="14467114"/>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0">
                  <a:latin typeface="Cambria Math" panose="02040503050406030204" pitchFamily="18" charset="0"/>
                </a:rPr>
                <a:t>𝑑</a:t>
              </a:r>
              <a:r>
                <a:rPr lang="es-ES" sz="1100" b="0" i="0">
                  <a:latin typeface="Cambria Math" panose="02040503050406030204" pitchFamily="18" charset="0"/>
                </a:rPr>
                <a:t>𝑥1/</a:t>
              </a:r>
              <a:r>
                <a:rPr lang="es-ES" sz="1100" i="0">
                  <a:latin typeface="Cambria Math" panose="02040503050406030204" pitchFamily="18" charset="0"/>
                </a:rPr>
                <a:t>𝑑</a:t>
              </a:r>
              <a:r>
                <a:rPr lang="es-ES" sz="1100" b="0" i="0">
                  <a:latin typeface="Cambria Math" panose="02040503050406030204" pitchFamily="18" charset="0"/>
                </a:rPr>
                <a:t>𝑡=−</a:t>
              </a:r>
              <a:r>
                <a:rPr lang="el-GR" sz="1100" i="0">
                  <a:solidFill>
                    <a:schemeClr val="dk1"/>
                  </a:solidFill>
                  <a:effectLst/>
                  <a:latin typeface="+mn-lt"/>
                  <a:ea typeface="+mn-ea"/>
                  <a:cs typeface="+mn-cs"/>
                </a:rPr>
                <a:t>𝛼</a:t>
              </a:r>
              <a:r>
                <a:rPr lang="es-ES" sz="1100" b="0" i="0">
                  <a:solidFill>
                    <a:schemeClr val="dk1"/>
                  </a:solidFill>
                  <a:effectLst/>
                  <a:latin typeface="Cambria Math" panose="02040503050406030204" pitchFamily="18" charset="0"/>
                  <a:ea typeface="+mn-ea"/>
                  <a:cs typeface="+mn-cs"/>
                </a:rPr>
                <a:t>∗[𝑥1−𝑢(𝑇)]∗[0,964∗𝐴_𝑚𝑎𝑙(𝑇) +𝐴_𝑑𝑒𝑥(𝑇) ]</a:t>
              </a:r>
              <a:endParaRPr lang="es-ES" sz="1100" b="0"/>
            </a:p>
            <a:p>
              <a:endParaRPr lang="es-ES" sz="1100"/>
            </a:p>
          </xdr:txBody>
        </xdr:sp>
      </mc:Fallback>
    </mc:AlternateContent>
    <xdr:clientData/>
  </xdr:twoCellAnchor>
  <xdr:twoCellAnchor>
    <xdr:from>
      <xdr:col>0</xdr:col>
      <xdr:colOff>4558394</xdr:colOff>
      <xdr:row>74</xdr:row>
      <xdr:rowOff>176893</xdr:rowOff>
    </xdr:from>
    <xdr:to>
      <xdr:col>3</xdr:col>
      <xdr:colOff>1006929</xdr:colOff>
      <xdr:row>78</xdr:row>
      <xdr:rowOff>81643</xdr:rowOff>
    </xdr:to>
    <mc:AlternateContent xmlns:mc="http://schemas.openxmlformats.org/markup-compatibility/2006" xmlns:a14="http://schemas.microsoft.com/office/drawing/2010/main">
      <mc:Choice Requires="a14">
        <xdr:sp macro="" textlink="">
          <xdr:nvSpPr>
            <xdr:cNvPr id="38" name="CuadroTexto 37">
              <a:extLst>
                <a:ext uri="{FF2B5EF4-FFF2-40B4-BE49-F238E27FC236}">
                  <a16:creationId xmlns:a16="http://schemas.microsoft.com/office/drawing/2014/main" id="{00000000-0008-0000-0300-000026000000}"/>
                </a:ext>
              </a:extLst>
            </xdr:cNvPr>
            <xdr:cNvSpPr txBox="1"/>
          </xdr:nvSpPr>
          <xdr:spPr>
            <a:xfrm>
              <a:off x="4558394" y="14464393"/>
              <a:ext cx="6095999" cy="66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𝑥</m:t>
                        </m:r>
                        <m:r>
                          <a:rPr lang="es-ES" sz="1100" b="0" i="1">
                            <a:latin typeface="Cambria Math" panose="02040503050406030204" pitchFamily="18" charset="0"/>
                          </a:rPr>
                          <m:t>2</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r>
                      <a:rPr lang="el-GR" sz="1100" i="1">
                        <a:solidFill>
                          <a:schemeClr val="dk1"/>
                        </a:solidFill>
                        <a:effectLst/>
                        <a:latin typeface="Cambria Math" panose="02040503050406030204" pitchFamily="18" charset="0"/>
                        <a:ea typeface="+mn-ea"/>
                        <a:cs typeface="+mn-cs"/>
                      </a:rPr>
                      <m:t>𝛼</m:t>
                    </m:r>
                    <m:r>
                      <a:rPr lang="es-ES" sz="1100" b="0" i="1">
                        <a:solidFill>
                          <a:schemeClr val="dk1"/>
                        </a:solidFill>
                        <a:effectLst/>
                        <a:latin typeface="Cambria Math" panose="02040503050406030204" pitchFamily="18" charset="0"/>
                        <a:ea typeface="+mn-ea"/>
                        <a:cs typeface="+mn-cs"/>
                      </a:rPr>
                      <m:t>∗</m:t>
                    </m:r>
                    <m:d>
                      <m:dPr>
                        <m:begChr m:val="["/>
                        <m:endChr m:val="]"/>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𝑥</m:t>
                        </m:r>
                        <m:r>
                          <a:rPr lang="es-ES" sz="1100" b="0" i="1">
                            <a:solidFill>
                              <a:schemeClr val="dk1"/>
                            </a:solidFill>
                            <a:effectLst/>
                            <a:latin typeface="Cambria Math" panose="02040503050406030204" pitchFamily="18" charset="0"/>
                            <a:ea typeface="+mn-ea"/>
                            <a:cs typeface="+mn-cs"/>
                          </a:rPr>
                          <m:t>1−</m:t>
                        </m:r>
                        <m:r>
                          <a:rPr lang="es-ES" sz="1100" b="0" i="1">
                            <a:solidFill>
                              <a:schemeClr val="dk1"/>
                            </a:solidFill>
                            <a:effectLst/>
                            <a:latin typeface="Cambria Math" panose="02040503050406030204" pitchFamily="18" charset="0"/>
                            <a:ea typeface="+mn-ea"/>
                            <a:cs typeface="+mn-cs"/>
                          </a:rPr>
                          <m:t>𝑢</m:t>
                        </m:r>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e>
                    </m:d>
                    <m:r>
                      <a:rPr lang="es-ES" sz="1100" b="0" i="1">
                        <a:solidFill>
                          <a:schemeClr val="dk1"/>
                        </a:solidFill>
                        <a:effectLst/>
                        <a:latin typeface="Cambria Math" panose="02040503050406030204" pitchFamily="18" charset="0"/>
                        <a:ea typeface="+mn-ea"/>
                        <a:cs typeface="+mn-cs"/>
                      </a:rPr>
                      <m:t>∗</m:t>
                    </m:r>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𝐴</m:t>
                        </m:r>
                      </m:e>
                      <m:sub>
                        <m:r>
                          <a:rPr lang="es-ES" sz="1100" b="0" i="1">
                            <a:solidFill>
                              <a:schemeClr val="dk1"/>
                            </a:solidFill>
                            <a:effectLst/>
                            <a:latin typeface="Cambria Math" panose="02040503050406030204" pitchFamily="18" charset="0"/>
                            <a:ea typeface="+mn-ea"/>
                            <a:cs typeface="+mn-cs"/>
                          </a:rPr>
                          <m:t>𝑑𝑒𝑥</m:t>
                        </m:r>
                      </m:sub>
                    </m:sSub>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r>
                      <a:rPr lang="es-ES" sz="1100" b="0" i="1">
                        <a:solidFill>
                          <a:schemeClr val="dk1"/>
                        </a:solidFill>
                        <a:effectLst/>
                        <a:latin typeface="Cambria Math" panose="02040503050406030204" pitchFamily="18" charset="0"/>
                        <a:ea typeface="+mn-ea"/>
                        <a:cs typeface="+mn-cs"/>
                      </a:rPr>
                      <m:t>−</m:t>
                    </m:r>
                    <m:r>
                      <a:rPr lang="el-GR" sz="1100" b="0" i="1">
                        <a:solidFill>
                          <a:schemeClr val="dk1"/>
                        </a:solidFill>
                        <a:effectLst/>
                        <a:latin typeface="Cambria Math" panose="02040503050406030204" pitchFamily="18" charset="0"/>
                        <a:ea typeface="+mn-ea"/>
                        <a:cs typeface="+mn-cs"/>
                      </a:rPr>
                      <m:t>𝛽</m:t>
                    </m:r>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𝑥</m:t>
                    </m:r>
                    <m:r>
                      <a:rPr lang="es-ES" sz="1100" b="0" i="1">
                        <a:solidFill>
                          <a:schemeClr val="dk1"/>
                        </a:solidFill>
                        <a:effectLst/>
                        <a:latin typeface="Cambria Math" panose="02040503050406030204" pitchFamily="18" charset="0"/>
                        <a:ea typeface="+mn-ea"/>
                        <a:cs typeface="+mn-cs"/>
                      </a:rPr>
                      <m:t>2∗[0,9∗</m:t>
                    </m:r>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𝐵</m:t>
                        </m:r>
                      </m:e>
                      <m:sub>
                        <m:r>
                          <a:rPr lang="es-ES" sz="1100" b="0" i="1">
                            <a:solidFill>
                              <a:schemeClr val="dk1"/>
                            </a:solidFill>
                            <a:effectLst/>
                            <a:latin typeface="Cambria Math" panose="02040503050406030204" pitchFamily="18" charset="0"/>
                            <a:ea typeface="+mn-ea"/>
                            <a:cs typeface="+mn-cs"/>
                          </a:rPr>
                          <m:t>𝑔𝑙𝑢</m:t>
                        </m:r>
                      </m:sub>
                    </m:sSub>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r>
                      <a:rPr lang="es-ES" sz="1100" b="0" i="1">
                        <a:solidFill>
                          <a:schemeClr val="dk1"/>
                        </a:solidFill>
                        <a:effectLst/>
                        <a:latin typeface="Cambria Math" panose="02040503050406030204" pitchFamily="18" charset="0"/>
                        <a:ea typeface="+mn-ea"/>
                        <a:cs typeface="+mn-cs"/>
                      </a:rPr>
                      <m:t>+0,947∗</m:t>
                    </m:r>
                    <m:f>
                      <m:fPr>
                        <m:ctrlPr>
                          <a:rPr lang="es-ES" sz="1100" b="0" i="1">
                            <a:solidFill>
                              <a:schemeClr val="dk1"/>
                            </a:solidFill>
                            <a:effectLst/>
                            <a:latin typeface="Cambria Math" panose="02040503050406030204" pitchFamily="18" charset="0"/>
                            <a:ea typeface="+mn-ea"/>
                            <a:cs typeface="+mn-cs"/>
                          </a:rPr>
                        </m:ctrlPr>
                      </m:fPr>
                      <m:num>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𝐵</m:t>
                            </m:r>
                          </m:e>
                          <m:sub>
                            <m:r>
                              <a:rPr lang="es-ES" sz="1100" b="0" i="1">
                                <a:solidFill>
                                  <a:schemeClr val="dk1"/>
                                </a:solidFill>
                                <a:effectLst/>
                                <a:latin typeface="Cambria Math" panose="02040503050406030204" pitchFamily="18" charset="0"/>
                                <a:ea typeface="+mn-ea"/>
                                <a:cs typeface="+mn-cs"/>
                              </a:rPr>
                              <m:t>𝑚𝑎𝑙</m:t>
                            </m:r>
                          </m:sub>
                        </m:sSub>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num>
                      <m:den>
                        <m:r>
                          <a:rPr lang="es-ES" sz="1100" b="0" i="1">
                            <a:solidFill>
                              <a:schemeClr val="dk1"/>
                            </a:solidFill>
                            <a:effectLst/>
                            <a:latin typeface="Cambria Math" panose="02040503050406030204" pitchFamily="18" charset="0"/>
                            <a:ea typeface="+mn-ea"/>
                            <a:cs typeface="+mn-cs"/>
                          </a:rPr>
                          <m:t>𝐾𝑚</m:t>
                        </m:r>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𝑥</m:t>
                        </m:r>
                        <m:r>
                          <a:rPr lang="es-ES" sz="1100" b="0" i="1">
                            <a:solidFill>
                              <a:schemeClr val="dk1"/>
                            </a:solidFill>
                            <a:effectLst/>
                            <a:latin typeface="Cambria Math" panose="02040503050406030204" pitchFamily="18" charset="0"/>
                            <a:ea typeface="+mn-ea"/>
                            <a:cs typeface="+mn-cs"/>
                          </a:rPr>
                          <m:t>2</m:t>
                        </m:r>
                      </m:den>
                    </m:f>
                    <m:r>
                      <a:rPr lang="es-ES" sz="1100" b="0" i="1">
                        <a:solidFill>
                          <a:schemeClr val="dk1"/>
                        </a:solidFill>
                        <a:effectLst/>
                        <a:latin typeface="Cambria Math" panose="02040503050406030204" pitchFamily="18" charset="0"/>
                        <a:ea typeface="+mn-ea"/>
                        <a:cs typeface="+mn-cs"/>
                      </a:rPr>
                      <m:t>+</m:t>
                    </m:r>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𝐵</m:t>
                        </m:r>
                      </m:e>
                      <m:sub>
                        <m:r>
                          <a:rPr lang="es-ES" sz="1100" b="0" i="1">
                            <a:solidFill>
                              <a:schemeClr val="dk1"/>
                            </a:solidFill>
                            <a:effectLst/>
                            <a:latin typeface="Cambria Math" panose="02040503050406030204" pitchFamily="18" charset="0"/>
                            <a:ea typeface="+mn-ea"/>
                            <a:cs typeface="+mn-cs"/>
                          </a:rPr>
                          <m:t>𝑑𝑒𝑥</m:t>
                        </m:r>
                      </m:sub>
                    </m:sSub>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𝑇</m:t>
                    </m:r>
                    <m:r>
                      <a:rPr lang="es-ES" sz="1100" b="0" i="1">
                        <a:solidFill>
                          <a:schemeClr val="dk1"/>
                        </a:solidFill>
                        <a:effectLst/>
                        <a:latin typeface="Cambria Math" panose="02040503050406030204" pitchFamily="18" charset="0"/>
                        <a:ea typeface="+mn-ea"/>
                        <a:cs typeface="+mn-cs"/>
                      </a:rPr>
                      <m:t>)]</m:t>
                    </m:r>
                  </m:oMath>
                </m:oMathPara>
              </a14:m>
              <a:endParaRPr lang="es-ES" sz="1100" b="0"/>
            </a:p>
            <a:p>
              <a:endParaRPr lang="es-ES" sz="1100"/>
            </a:p>
          </xdr:txBody>
        </xdr:sp>
      </mc:Choice>
      <mc:Fallback xmlns="">
        <xdr:sp macro="" textlink="">
          <xdr:nvSpPr>
            <xdr:cNvPr id="38" name="CuadroTexto 37">
              <a:extLst>
                <a:ext uri="{FF2B5EF4-FFF2-40B4-BE49-F238E27FC236}">
                  <a16:creationId xmlns:a16="http://schemas.microsoft.com/office/drawing/2014/main" id="{00000000-0008-0000-0900-000009000000}"/>
                </a:ext>
              </a:extLst>
            </xdr:cNvPr>
            <xdr:cNvSpPr txBox="1"/>
          </xdr:nvSpPr>
          <xdr:spPr>
            <a:xfrm>
              <a:off x="4558394" y="14464393"/>
              <a:ext cx="6095999" cy="66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latin typeface="Cambria Math" panose="02040503050406030204" pitchFamily="18" charset="0"/>
                </a:rPr>
                <a:t>𝑑</a:t>
              </a:r>
              <a:r>
                <a:rPr lang="es-ES" sz="1100" b="0" i="0">
                  <a:latin typeface="Cambria Math" panose="02040503050406030204" pitchFamily="18" charset="0"/>
                </a:rPr>
                <a:t>𝑥2/</a:t>
              </a:r>
              <a:r>
                <a:rPr lang="es-ES" sz="1100" i="0">
                  <a:latin typeface="Cambria Math" panose="02040503050406030204" pitchFamily="18" charset="0"/>
                </a:rPr>
                <a:t>𝑑</a:t>
              </a:r>
              <a:r>
                <a:rPr lang="es-ES" sz="1100" b="0" i="0">
                  <a:latin typeface="Cambria Math" panose="02040503050406030204" pitchFamily="18" charset="0"/>
                </a:rPr>
                <a:t>𝑡=</a:t>
              </a:r>
              <a:r>
                <a:rPr lang="el-GR" sz="1100" i="0">
                  <a:solidFill>
                    <a:schemeClr val="dk1"/>
                  </a:solidFill>
                  <a:effectLst/>
                  <a:latin typeface="+mn-lt"/>
                  <a:ea typeface="+mn-ea"/>
                  <a:cs typeface="+mn-cs"/>
                </a:rPr>
                <a:t>𝛼</a:t>
              </a:r>
              <a:r>
                <a:rPr lang="es-ES" sz="1100" b="0" i="0">
                  <a:solidFill>
                    <a:schemeClr val="dk1"/>
                  </a:solidFill>
                  <a:effectLst/>
                  <a:latin typeface="Cambria Math" panose="02040503050406030204" pitchFamily="18" charset="0"/>
                  <a:ea typeface="+mn-ea"/>
                  <a:cs typeface="+mn-cs"/>
                </a:rPr>
                <a:t>∗[𝑥1−𝑢(𝑇)]∗𝐴_𝑑𝑒𝑥 (𝑇)−</a:t>
              </a:r>
              <a:r>
                <a:rPr lang="el-GR" sz="1100" b="0" i="0">
                  <a:solidFill>
                    <a:schemeClr val="dk1"/>
                  </a:solidFill>
                  <a:effectLst/>
                  <a:latin typeface="+mn-lt"/>
                  <a:ea typeface="+mn-ea"/>
                  <a:cs typeface="+mn-cs"/>
                </a:rPr>
                <a:t>𝛽</a:t>
              </a:r>
              <a:r>
                <a:rPr lang="es-ES" sz="1100" b="0" i="0">
                  <a:solidFill>
                    <a:schemeClr val="dk1"/>
                  </a:solidFill>
                  <a:effectLst/>
                  <a:latin typeface="Cambria Math" panose="02040503050406030204" pitchFamily="18" charset="0"/>
                  <a:ea typeface="+mn-ea"/>
                  <a:cs typeface="+mn-cs"/>
                </a:rPr>
                <a:t>∗𝑥2∗[0,9∗𝐵_𝑔𝑙𝑢 (𝑇)+0,947∗(𝐵_𝑚𝑎𝑙 (𝑇))/(𝐾𝑚+𝑥2)+𝐵_𝑑𝑒𝑥 (𝑇)]</a:t>
              </a:r>
              <a:endParaRPr lang="es-ES" sz="1100" b="0"/>
            </a:p>
            <a:p>
              <a:endParaRPr lang="es-ES" sz="1100"/>
            </a:p>
          </xdr:txBody>
        </xdr:sp>
      </mc:Fallback>
    </mc:AlternateContent>
    <xdr:clientData/>
  </xdr:twoCellAnchor>
  <xdr:twoCellAnchor>
    <xdr:from>
      <xdr:col>0</xdr:col>
      <xdr:colOff>802821</xdr:colOff>
      <xdr:row>80</xdr:row>
      <xdr:rowOff>176893</xdr:rowOff>
    </xdr:from>
    <xdr:to>
      <xdr:col>0</xdr:col>
      <xdr:colOff>4310744</xdr:colOff>
      <xdr:row>84</xdr:row>
      <xdr:rowOff>13608</xdr:rowOff>
    </xdr:to>
    <mc:AlternateContent xmlns:mc="http://schemas.openxmlformats.org/markup-compatibility/2006" xmlns:a14="http://schemas.microsoft.com/office/drawing/2010/main">
      <mc:Choice Requires="a14">
        <xdr:sp macro="" textlink="">
          <xdr:nvSpPr>
            <xdr:cNvPr id="39" name="CuadroTexto 38">
              <a:extLst>
                <a:ext uri="{FF2B5EF4-FFF2-40B4-BE49-F238E27FC236}">
                  <a16:creationId xmlns:a16="http://schemas.microsoft.com/office/drawing/2014/main" id="{00000000-0008-0000-0300-000027000000}"/>
                </a:ext>
              </a:extLst>
            </xdr:cNvPr>
            <xdr:cNvSpPr txBox="1"/>
          </xdr:nvSpPr>
          <xdr:spPr>
            <a:xfrm>
              <a:off x="802821" y="15607393"/>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𝑥</m:t>
                        </m:r>
                        <m:r>
                          <a:rPr lang="es-ES" sz="1100" b="0" i="1">
                            <a:latin typeface="Cambria Math" panose="02040503050406030204" pitchFamily="18" charset="0"/>
                          </a:rPr>
                          <m:t>3</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𝐵</m:t>
                        </m:r>
                      </m:e>
                      <m:sub>
                        <m:r>
                          <a:rPr lang="es-ES" sz="1100" b="0" i="1">
                            <a:latin typeface="Cambria Math" panose="02040503050406030204" pitchFamily="18" charset="0"/>
                          </a:rPr>
                          <m:t>𝑔𝑙𝑢</m:t>
                        </m:r>
                      </m:sub>
                    </m:sSub>
                    <m:d>
                      <m:dPr>
                        <m:ctrlPr>
                          <a:rPr lang="es-ES" sz="1100" b="0" i="1">
                            <a:latin typeface="Cambria Math" panose="02040503050406030204" pitchFamily="18" charset="0"/>
                          </a:rPr>
                        </m:ctrlPr>
                      </m:dPr>
                      <m:e>
                        <m:r>
                          <a:rPr lang="es-ES" sz="1100" b="0" i="1">
                            <a:latin typeface="Cambria Math" panose="02040503050406030204" pitchFamily="18" charset="0"/>
                          </a:rPr>
                          <m:t>𝑇</m:t>
                        </m:r>
                      </m:e>
                    </m:d>
                    <m:r>
                      <a:rPr lang="es-ES" sz="1100" b="0" i="1">
                        <a:latin typeface="Cambria Math" panose="02040503050406030204" pitchFamily="18" charset="0"/>
                      </a:rPr>
                      <m:t>∗</m:t>
                    </m:r>
                    <m:r>
                      <a:rPr lang="es-ES" sz="1100" b="0" i="1">
                        <a:latin typeface="Cambria Math" panose="02040503050406030204" pitchFamily="18" charset="0"/>
                      </a:rPr>
                      <m:t>𝑥</m:t>
                    </m:r>
                    <m:r>
                      <a:rPr lang="es-ES" sz="1100" b="0" i="1">
                        <a:latin typeface="Cambria Math" panose="02040503050406030204" pitchFamily="18" charset="0"/>
                      </a:rPr>
                      <m:t>2∗</m:t>
                    </m:r>
                    <m:r>
                      <a:rPr lang="el-GR" sz="1100" b="0" i="1">
                        <a:solidFill>
                          <a:schemeClr val="dk1"/>
                        </a:solidFill>
                        <a:effectLst/>
                        <a:latin typeface="Cambria Math" panose="02040503050406030204" pitchFamily="18" charset="0"/>
                        <a:ea typeface="+mn-ea"/>
                        <a:cs typeface="+mn-cs"/>
                      </a:rPr>
                      <m:t>𝛽</m:t>
                    </m:r>
                  </m:oMath>
                </m:oMathPara>
              </a14:m>
              <a:endParaRPr lang="es-ES" sz="1100" b="0"/>
            </a:p>
            <a:p>
              <a:endParaRPr lang="es-ES" sz="1100"/>
            </a:p>
          </xdr:txBody>
        </xdr:sp>
      </mc:Choice>
      <mc:Fallback xmlns="">
        <xdr:sp macro="" textlink="">
          <xdr:nvSpPr>
            <xdr:cNvPr id="39" name="CuadroTexto 38">
              <a:extLst>
                <a:ext uri="{FF2B5EF4-FFF2-40B4-BE49-F238E27FC236}">
                  <a16:creationId xmlns:a16="http://schemas.microsoft.com/office/drawing/2014/main" id="{00000000-0008-0000-0900-000009000000}"/>
                </a:ext>
              </a:extLst>
            </xdr:cNvPr>
            <xdr:cNvSpPr txBox="1"/>
          </xdr:nvSpPr>
          <xdr:spPr>
            <a:xfrm>
              <a:off x="802821" y="15607393"/>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0">
                  <a:latin typeface="Cambria Math" panose="02040503050406030204" pitchFamily="18" charset="0"/>
                </a:rPr>
                <a:t>𝑑</a:t>
              </a:r>
              <a:r>
                <a:rPr lang="es-ES" sz="1100" b="0" i="0">
                  <a:latin typeface="Cambria Math" panose="02040503050406030204" pitchFamily="18" charset="0"/>
                </a:rPr>
                <a:t>𝑥3/</a:t>
              </a:r>
              <a:r>
                <a:rPr lang="es-ES" sz="1100" i="0">
                  <a:latin typeface="Cambria Math" panose="02040503050406030204" pitchFamily="18" charset="0"/>
                </a:rPr>
                <a:t>𝑑</a:t>
              </a:r>
              <a:r>
                <a:rPr lang="es-ES" sz="1100" b="0" i="0">
                  <a:latin typeface="Cambria Math" panose="02040503050406030204" pitchFamily="18" charset="0"/>
                </a:rPr>
                <a:t>𝑡=𝐵_𝑔𝑙𝑢 (𝑇)∗𝑥2∗</a:t>
              </a:r>
              <a:r>
                <a:rPr lang="el-GR" sz="1100" b="0" i="0">
                  <a:solidFill>
                    <a:schemeClr val="dk1"/>
                  </a:solidFill>
                  <a:effectLst/>
                  <a:latin typeface="+mn-lt"/>
                  <a:ea typeface="+mn-ea"/>
                  <a:cs typeface="+mn-cs"/>
                </a:rPr>
                <a:t>𝛽</a:t>
              </a:r>
              <a:endParaRPr lang="es-ES" sz="1100" b="0"/>
            </a:p>
            <a:p>
              <a:endParaRPr lang="es-ES" sz="1100"/>
            </a:p>
          </xdr:txBody>
        </xdr:sp>
      </mc:Fallback>
    </mc:AlternateContent>
    <xdr:clientData/>
  </xdr:twoCellAnchor>
  <xdr:twoCellAnchor>
    <xdr:from>
      <xdr:col>0</xdr:col>
      <xdr:colOff>4667250</xdr:colOff>
      <xdr:row>80</xdr:row>
      <xdr:rowOff>163285</xdr:rowOff>
    </xdr:from>
    <xdr:to>
      <xdr:col>2</xdr:col>
      <xdr:colOff>677637</xdr:colOff>
      <xdr:row>84</xdr:row>
      <xdr:rowOff>0</xdr:rowOff>
    </xdr:to>
    <mc:AlternateContent xmlns:mc="http://schemas.openxmlformats.org/markup-compatibility/2006" xmlns:a14="http://schemas.microsoft.com/office/drawing/2010/main">
      <mc:Choice Requires="a14">
        <xdr:sp macro="" textlink="">
          <xdr:nvSpPr>
            <xdr:cNvPr id="40" name="CuadroTexto 39">
              <a:extLst>
                <a:ext uri="{FF2B5EF4-FFF2-40B4-BE49-F238E27FC236}">
                  <a16:creationId xmlns:a16="http://schemas.microsoft.com/office/drawing/2014/main" id="{00000000-0008-0000-0300-000028000000}"/>
                </a:ext>
              </a:extLst>
            </xdr:cNvPr>
            <xdr:cNvSpPr txBox="1"/>
          </xdr:nvSpPr>
          <xdr:spPr>
            <a:xfrm>
              <a:off x="4667250" y="15593785"/>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𝑥</m:t>
                        </m:r>
                        <m:r>
                          <a:rPr lang="es-ES" sz="1100" b="0" i="1">
                            <a:latin typeface="Cambria Math" panose="02040503050406030204" pitchFamily="18" charset="0"/>
                          </a:rPr>
                          <m:t>4</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f>
                      <m:fPr>
                        <m:ctrlPr>
                          <a:rPr lang="es-ES" sz="1100" b="0" i="1">
                            <a:latin typeface="Cambria Math" panose="02040503050406030204" pitchFamily="18" charset="0"/>
                          </a:rPr>
                        </m:ctrlPr>
                      </m:fPr>
                      <m:num>
                        <m:sSub>
                          <m:sSubPr>
                            <m:ctrlPr>
                              <a:rPr lang="es-ES" sz="1100" b="0" i="1">
                                <a:solidFill>
                                  <a:schemeClr val="dk1"/>
                                </a:solidFill>
                                <a:effectLst/>
                                <a:latin typeface="Cambria Math" panose="02040503050406030204" pitchFamily="18" charset="0"/>
                                <a:ea typeface="+mn-ea"/>
                                <a:cs typeface="+mn-cs"/>
                              </a:rPr>
                            </m:ctrlPr>
                          </m:sSubPr>
                          <m:e>
                            <m:r>
                              <a:rPr lang="es-ES" sz="1100" b="0" i="1">
                                <a:solidFill>
                                  <a:schemeClr val="dk1"/>
                                </a:solidFill>
                                <a:effectLst/>
                                <a:latin typeface="Cambria Math" panose="02040503050406030204" pitchFamily="18" charset="0"/>
                                <a:ea typeface="+mn-ea"/>
                                <a:cs typeface="+mn-cs"/>
                              </a:rPr>
                              <m:t>𝐵</m:t>
                            </m:r>
                          </m:e>
                          <m:sub>
                            <m:r>
                              <a:rPr lang="es-ES" sz="1100" b="0" i="1">
                                <a:solidFill>
                                  <a:schemeClr val="dk1"/>
                                </a:solidFill>
                                <a:effectLst/>
                                <a:latin typeface="Cambria Math" panose="02040503050406030204" pitchFamily="18" charset="0"/>
                                <a:ea typeface="+mn-ea"/>
                                <a:cs typeface="+mn-cs"/>
                              </a:rPr>
                              <m:t>𝑚𝑎𝑙</m:t>
                            </m:r>
                          </m:sub>
                        </m:sSub>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r>
                          <a:rPr lang="es-ES" sz="1100" b="0" i="1">
                            <a:solidFill>
                              <a:schemeClr val="dk1"/>
                            </a:solidFill>
                            <a:effectLst/>
                            <a:latin typeface="Cambria Math" panose="02040503050406030204" pitchFamily="18" charset="0"/>
                            <a:ea typeface="+mn-ea"/>
                            <a:cs typeface="+mn-cs"/>
                          </a:rPr>
                          <m:t>∗</m:t>
                        </m:r>
                        <m:r>
                          <a:rPr lang="el-GR" sz="1100" b="0" i="1">
                            <a:solidFill>
                              <a:schemeClr val="dk1"/>
                            </a:solidFill>
                            <a:effectLst/>
                            <a:latin typeface="Cambria Math" panose="02040503050406030204" pitchFamily="18" charset="0"/>
                            <a:ea typeface="+mn-ea"/>
                            <a:cs typeface="+mn-cs"/>
                          </a:rPr>
                          <m:t>𝛽</m:t>
                        </m:r>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𝑥</m:t>
                        </m:r>
                        <m:r>
                          <a:rPr lang="es-ES" sz="1100" b="0" i="1">
                            <a:solidFill>
                              <a:schemeClr val="dk1"/>
                            </a:solidFill>
                            <a:effectLst/>
                            <a:latin typeface="Cambria Math" panose="02040503050406030204" pitchFamily="18" charset="0"/>
                            <a:ea typeface="+mn-ea"/>
                            <a:cs typeface="+mn-cs"/>
                          </a:rPr>
                          <m:t>2 </m:t>
                        </m:r>
                        <m:r>
                          <m:rPr>
                            <m:nor/>
                          </m:rPr>
                          <a:rPr lang="es-ES">
                            <a:effectLst/>
                          </a:rPr>
                          <m:t> </m:t>
                        </m:r>
                      </m:num>
                      <m:den>
                        <m:r>
                          <a:rPr lang="es-ES" sz="1100" b="0" i="1">
                            <a:latin typeface="Cambria Math" panose="02040503050406030204" pitchFamily="18" charset="0"/>
                          </a:rPr>
                          <m:t>(</m:t>
                        </m:r>
                        <m:r>
                          <a:rPr lang="es-ES" sz="1100" b="0" i="1">
                            <a:latin typeface="Cambria Math" panose="02040503050406030204" pitchFamily="18" charset="0"/>
                          </a:rPr>
                          <m:t>𝐾𝑚</m:t>
                        </m:r>
                        <m:r>
                          <a:rPr lang="es-ES" sz="1100" b="0" i="1">
                            <a:latin typeface="Cambria Math" panose="02040503050406030204" pitchFamily="18" charset="0"/>
                          </a:rPr>
                          <m:t>+</m:t>
                        </m:r>
                        <m:r>
                          <a:rPr lang="es-ES" sz="1100" b="0" i="1">
                            <a:latin typeface="Cambria Math" panose="02040503050406030204" pitchFamily="18" charset="0"/>
                          </a:rPr>
                          <m:t>𝑥</m:t>
                        </m:r>
                        <m:r>
                          <a:rPr lang="es-ES" sz="1100" b="0" i="1">
                            <a:latin typeface="Cambria Math" panose="02040503050406030204" pitchFamily="18" charset="0"/>
                          </a:rPr>
                          <m:t>2)</m:t>
                        </m:r>
                      </m:den>
                    </m:f>
                  </m:oMath>
                </m:oMathPara>
              </a14:m>
              <a:endParaRPr lang="es-ES" sz="1100" b="0"/>
            </a:p>
            <a:p>
              <a:endParaRPr lang="es-ES" sz="1100"/>
            </a:p>
          </xdr:txBody>
        </xdr:sp>
      </mc:Choice>
      <mc:Fallback xmlns="">
        <xdr:sp macro="" textlink="">
          <xdr:nvSpPr>
            <xdr:cNvPr id="40" name="CuadroTexto 39">
              <a:extLst>
                <a:ext uri="{FF2B5EF4-FFF2-40B4-BE49-F238E27FC236}">
                  <a16:creationId xmlns:a16="http://schemas.microsoft.com/office/drawing/2014/main" id="{00000000-0008-0000-0900-000009000000}"/>
                </a:ext>
              </a:extLst>
            </xdr:cNvPr>
            <xdr:cNvSpPr txBox="1"/>
          </xdr:nvSpPr>
          <xdr:spPr>
            <a:xfrm>
              <a:off x="4667250" y="15593785"/>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latin typeface="Cambria Math" panose="02040503050406030204" pitchFamily="18" charset="0"/>
                </a:rPr>
                <a:t>𝑑</a:t>
              </a:r>
              <a:r>
                <a:rPr lang="es-ES" sz="1100" b="0" i="0">
                  <a:latin typeface="Cambria Math" panose="02040503050406030204" pitchFamily="18" charset="0"/>
                </a:rPr>
                <a:t>𝑥4/</a:t>
              </a:r>
              <a:r>
                <a:rPr lang="es-ES" sz="1100" i="0">
                  <a:latin typeface="Cambria Math" panose="02040503050406030204" pitchFamily="18" charset="0"/>
                </a:rPr>
                <a:t>𝑑</a:t>
              </a:r>
              <a:r>
                <a:rPr lang="es-ES" sz="1100" b="0" i="0">
                  <a:latin typeface="Cambria Math" panose="02040503050406030204" pitchFamily="18" charset="0"/>
                </a:rPr>
                <a:t>𝑡=(</a:t>
              </a:r>
              <a:r>
                <a:rPr lang="es-ES" sz="1100" b="0" i="0">
                  <a:solidFill>
                    <a:schemeClr val="dk1"/>
                  </a:solidFill>
                  <a:effectLst/>
                  <a:latin typeface="+mn-lt"/>
                  <a:ea typeface="+mn-ea"/>
                  <a:cs typeface="+mn-cs"/>
                </a:rPr>
                <a:t>𝐵_𝑚𝑎𝑙 (𝑇)∗</a:t>
              </a:r>
              <a:r>
                <a:rPr lang="el-GR" sz="1100" b="0" i="0">
                  <a:solidFill>
                    <a:schemeClr val="dk1"/>
                  </a:solidFill>
                  <a:effectLst/>
                  <a:latin typeface="+mn-lt"/>
                  <a:ea typeface="+mn-ea"/>
                  <a:cs typeface="+mn-cs"/>
                </a:rPr>
                <a:t>𝛽</a:t>
              </a:r>
              <a:r>
                <a:rPr lang="es-ES" sz="1100" b="0" i="0">
                  <a:solidFill>
                    <a:schemeClr val="dk1"/>
                  </a:solidFill>
                  <a:effectLst/>
                  <a:latin typeface="+mn-lt"/>
                  <a:ea typeface="+mn-ea"/>
                  <a:cs typeface="+mn-cs"/>
                </a:rPr>
                <a:t>∗𝑥</a:t>
              </a:r>
              <a:r>
                <a:rPr lang="es-ES" sz="1100" b="0" i="0">
                  <a:solidFill>
                    <a:schemeClr val="dk1"/>
                  </a:solidFill>
                  <a:effectLst/>
                  <a:latin typeface="Cambria Math" panose="02040503050406030204" pitchFamily="18" charset="0"/>
                  <a:ea typeface="+mn-ea"/>
                  <a:cs typeface="+mn-cs"/>
                </a:rPr>
                <a:t>2</a:t>
              </a:r>
              <a:r>
                <a:rPr lang="es-ES" sz="1100" b="0" i="0">
                  <a:solidFill>
                    <a:schemeClr val="dk1"/>
                  </a:solidFill>
                  <a:effectLst/>
                  <a:latin typeface="+mn-lt"/>
                  <a:ea typeface="+mn-ea"/>
                  <a:cs typeface="+mn-cs"/>
                </a:rPr>
                <a:t> "</a:t>
              </a:r>
              <a:r>
                <a:rPr lang="es-ES" i="0">
                  <a:effectLst/>
                </a:rPr>
                <a:t> </a:t>
              </a:r>
              <a:r>
                <a:rPr lang="es-ES" sz="1100" b="0" i="0">
                  <a:effectLst/>
                  <a:latin typeface="Cambria Math" panose="02040503050406030204" pitchFamily="18" charset="0"/>
                </a:rPr>
                <a:t>" )/(</a:t>
              </a:r>
              <a:r>
                <a:rPr lang="es-ES" sz="1100" b="0" i="0">
                  <a:latin typeface="Cambria Math" panose="02040503050406030204" pitchFamily="18" charset="0"/>
                </a:rPr>
                <a:t>(𝐾𝑚+𝑥2))</a:t>
              </a:r>
              <a:endParaRPr lang="es-ES" sz="1100" b="0"/>
            </a:p>
            <a:p>
              <a:endParaRPr lang="es-ES" sz="1100"/>
            </a:p>
          </xdr:txBody>
        </xdr:sp>
      </mc:Fallback>
    </mc:AlternateContent>
    <xdr:clientData/>
  </xdr:twoCellAnchor>
  <xdr:twoCellAnchor>
    <xdr:from>
      <xdr:col>0</xdr:col>
      <xdr:colOff>789214</xdr:colOff>
      <xdr:row>87</xdr:row>
      <xdr:rowOff>108857</xdr:rowOff>
    </xdr:from>
    <xdr:to>
      <xdr:col>0</xdr:col>
      <xdr:colOff>4297137</xdr:colOff>
      <xdr:row>90</xdr:row>
      <xdr:rowOff>136072</xdr:rowOff>
    </xdr:to>
    <mc:AlternateContent xmlns:mc="http://schemas.openxmlformats.org/markup-compatibility/2006" xmlns:a14="http://schemas.microsoft.com/office/drawing/2010/main">
      <mc:Choice Requires="a14">
        <xdr:sp macro="" textlink="">
          <xdr:nvSpPr>
            <xdr:cNvPr id="42" name="CuadroTexto 41">
              <a:extLst>
                <a:ext uri="{FF2B5EF4-FFF2-40B4-BE49-F238E27FC236}">
                  <a16:creationId xmlns:a16="http://schemas.microsoft.com/office/drawing/2014/main" id="{00000000-0008-0000-0300-00002A000000}"/>
                </a:ext>
              </a:extLst>
            </xdr:cNvPr>
            <xdr:cNvSpPr txBox="1"/>
          </xdr:nvSpPr>
          <xdr:spPr>
            <a:xfrm>
              <a:off x="789214" y="16872857"/>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𝑥</m:t>
                        </m:r>
                        <m:r>
                          <a:rPr lang="es-ES" sz="1100" b="0" i="1">
                            <a:latin typeface="Cambria Math" panose="02040503050406030204" pitchFamily="18" charset="0"/>
                          </a:rPr>
                          <m:t>5</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𝐴</m:t>
                        </m:r>
                      </m:e>
                      <m:sub>
                        <m:r>
                          <a:rPr lang="es-ES" sz="1100" b="0" i="1">
                            <a:latin typeface="Cambria Math" panose="02040503050406030204" pitchFamily="18" charset="0"/>
                          </a:rPr>
                          <m:t>𝑚𝑎𝑙</m:t>
                        </m:r>
                      </m:sub>
                    </m:sSub>
                    <m:d>
                      <m:dPr>
                        <m:ctrlPr>
                          <a:rPr lang="es-ES" sz="1100" b="0" i="1">
                            <a:latin typeface="Cambria Math" panose="02040503050406030204" pitchFamily="18" charset="0"/>
                          </a:rPr>
                        </m:ctrlPr>
                      </m:dPr>
                      <m:e>
                        <m:r>
                          <a:rPr lang="es-ES" sz="1100" b="0" i="1">
                            <a:latin typeface="Cambria Math" panose="02040503050406030204" pitchFamily="18" charset="0"/>
                          </a:rPr>
                          <m:t>𝑇</m:t>
                        </m:r>
                      </m:e>
                    </m:d>
                    <m:r>
                      <a:rPr lang="es-ES" sz="1100" b="0" i="1">
                        <a:latin typeface="Cambria Math" panose="02040503050406030204" pitchFamily="18" charset="0"/>
                      </a:rPr>
                      <m:t>∗</m:t>
                    </m:r>
                    <m:r>
                      <a:rPr lang="el-GR" sz="1100" b="0" i="1">
                        <a:solidFill>
                          <a:schemeClr val="dk1"/>
                        </a:solidFill>
                        <a:effectLst/>
                        <a:latin typeface="Cambria Math" panose="02040503050406030204" pitchFamily="18" charset="0"/>
                        <a:ea typeface="+mn-ea"/>
                        <a:cs typeface="+mn-cs"/>
                      </a:rPr>
                      <m:t>𝛼</m:t>
                    </m:r>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𝑥</m:t>
                    </m:r>
                    <m:r>
                      <a:rPr lang="es-ES" sz="1100" b="0" i="1">
                        <a:solidFill>
                          <a:schemeClr val="dk1"/>
                        </a:solidFill>
                        <a:effectLst/>
                        <a:latin typeface="Cambria Math" panose="02040503050406030204" pitchFamily="18" charset="0"/>
                        <a:ea typeface="+mn-ea"/>
                        <a:cs typeface="+mn-cs"/>
                      </a:rPr>
                      <m:t>1−</m:t>
                    </m:r>
                    <m:r>
                      <a:rPr lang="es-ES" sz="1100" b="0" i="1">
                        <a:solidFill>
                          <a:schemeClr val="dk1"/>
                        </a:solidFill>
                        <a:effectLst/>
                        <a:latin typeface="Cambria Math" panose="02040503050406030204" pitchFamily="18" charset="0"/>
                        <a:ea typeface="+mn-ea"/>
                        <a:cs typeface="+mn-cs"/>
                      </a:rPr>
                      <m:t>𝑢</m:t>
                    </m:r>
                    <m:d>
                      <m:dPr>
                        <m:ctrlPr>
                          <a:rPr lang="es-ES" sz="1100" b="0" i="1">
                            <a:solidFill>
                              <a:schemeClr val="dk1"/>
                            </a:solidFill>
                            <a:effectLst/>
                            <a:latin typeface="Cambria Math" panose="02040503050406030204" pitchFamily="18" charset="0"/>
                            <a:ea typeface="+mn-ea"/>
                            <a:cs typeface="+mn-cs"/>
                          </a:rPr>
                        </m:ctrlPr>
                      </m:dPr>
                      <m:e>
                        <m:r>
                          <a:rPr lang="es-ES" sz="1100" b="0" i="1">
                            <a:solidFill>
                              <a:schemeClr val="dk1"/>
                            </a:solidFill>
                            <a:effectLst/>
                            <a:latin typeface="Cambria Math" panose="02040503050406030204" pitchFamily="18" charset="0"/>
                            <a:ea typeface="+mn-ea"/>
                            <a:cs typeface="+mn-cs"/>
                          </a:rPr>
                          <m:t>𝑇</m:t>
                        </m:r>
                      </m:e>
                    </m:d>
                    <m:r>
                      <a:rPr lang="es-ES" sz="1100" b="0" i="1">
                        <a:solidFill>
                          <a:schemeClr val="dk1"/>
                        </a:solidFill>
                        <a:effectLst/>
                        <a:latin typeface="Cambria Math" panose="02040503050406030204" pitchFamily="18" charset="0"/>
                        <a:ea typeface="+mn-ea"/>
                        <a:cs typeface="+mn-cs"/>
                      </a:rPr>
                      <m:t>]</m:t>
                    </m:r>
                  </m:oMath>
                </m:oMathPara>
              </a14:m>
              <a:endParaRPr lang="es-ES">
                <a:effectLst/>
              </a:endParaRPr>
            </a:p>
            <a:p>
              <a:endParaRPr lang="es-ES" sz="1100" b="0"/>
            </a:p>
            <a:p>
              <a:endParaRPr lang="es-ES" sz="1100"/>
            </a:p>
          </xdr:txBody>
        </xdr:sp>
      </mc:Choice>
      <mc:Fallback xmlns="">
        <xdr:sp macro="" textlink="">
          <xdr:nvSpPr>
            <xdr:cNvPr id="42" name="CuadroTexto 41">
              <a:extLst>
                <a:ext uri="{FF2B5EF4-FFF2-40B4-BE49-F238E27FC236}">
                  <a16:creationId xmlns:a16="http://schemas.microsoft.com/office/drawing/2014/main" id="{00000000-0008-0000-0900-000009000000}"/>
                </a:ext>
              </a:extLst>
            </xdr:cNvPr>
            <xdr:cNvSpPr txBox="1"/>
          </xdr:nvSpPr>
          <xdr:spPr>
            <a:xfrm>
              <a:off x="789214" y="16872857"/>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ES" sz="1100" i="0">
                  <a:latin typeface="Cambria Math" panose="02040503050406030204" pitchFamily="18" charset="0"/>
                </a:rPr>
                <a:t>𝑑</a:t>
              </a:r>
              <a:r>
                <a:rPr lang="es-ES" sz="1100" b="0" i="0">
                  <a:latin typeface="Cambria Math" panose="02040503050406030204" pitchFamily="18" charset="0"/>
                </a:rPr>
                <a:t>𝑥5/</a:t>
              </a:r>
              <a:r>
                <a:rPr lang="es-ES" sz="1100" i="0">
                  <a:latin typeface="Cambria Math" panose="02040503050406030204" pitchFamily="18" charset="0"/>
                </a:rPr>
                <a:t>𝑑</a:t>
              </a:r>
              <a:r>
                <a:rPr lang="es-ES" sz="1100" b="0" i="0">
                  <a:latin typeface="Cambria Math" panose="02040503050406030204" pitchFamily="18" charset="0"/>
                </a:rPr>
                <a:t>𝑡=𝐴_𝑚𝑎𝑙 (𝑇)∗</a:t>
              </a:r>
              <a:r>
                <a:rPr lang="el-GR" sz="1100" b="0" i="0">
                  <a:solidFill>
                    <a:schemeClr val="dk1"/>
                  </a:solidFill>
                  <a:effectLst/>
                  <a:latin typeface="+mn-lt"/>
                  <a:ea typeface="+mn-ea"/>
                  <a:cs typeface="+mn-cs"/>
                </a:rPr>
                <a:t>𝛼</a:t>
              </a:r>
              <a:r>
                <a:rPr lang="es-ES" sz="1100" b="0" i="0">
                  <a:solidFill>
                    <a:schemeClr val="dk1"/>
                  </a:solidFill>
                  <a:effectLst/>
                  <a:latin typeface="Cambria Math" panose="02040503050406030204" pitchFamily="18" charset="0"/>
                  <a:ea typeface="+mn-ea"/>
                  <a:cs typeface="+mn-cs"/>
                </a:rPr>
                <a:t>∗[𝑥1−𝑢(𝑇)]</a:t>
              </a:r>
              <a:endParaRPr lang="es-ES">
                <a:effectLst/>
              </a:endParaRPr>
            </a:p>
            <a:p>
              <a:endParaRPr lang="es-ES" sz="1100" b="0"/>
            </a:p>
            <a:p>
              <a:endParaRPr lang="es-ES" sz="1100"/>
            </a:p>
          </xdr:txBody>
        </xdr:sp>
      </mc:Fallback>
    </mc:AlternateContent>
    <xdr:clientData/>
  </xdr:twoCellAnchor>
  <xdr:twoCellAnchor>
    <xdr:from>
      <xdr:col>0</xdr:col>
      <xdr:colOff>4694465</xdr:colOff>
      <xdr:row>87</xdr:row>
      <xdr:rowOff>122465</xdr:rowOff>
    </xdr:from>
    <xdr:to>
      <xdr:col>2</xdr:col>
      <xdr:colOff>704852</xdr:colOff>
      <xdr:row>90</xdr:row>
      <xdr:rowOff>149680</xdr:rowOff>
    </xdr:to>
    <mc:AlternateContent xmlns:mc="http://schemas.openxmlformats.org/markup-compatibility/2006" xmlns:a14="http://schemas.microsoft.com/office/drawing/2010/main">
      <mc:Choice Requires="a14">
        <xdr:sp macro="" textlink="">
          <xdr:nvSpPr>
            <xdr:cNvPr id="43" name="CuadroTexto 42">
              <a:extLst>
                <a:ext uri="{FF2B5EF4-FFF2-40B4-BE49-F238E27FC236}">
                  <a16:creationId xmlns:a16="http://schemas.microsoft.com/office/drawing/2014/main" id="{00000000-0008-0000-0300-00002B000000}"/>
                </a:ext>
              </a:extLst>
            </xdr:cNvPr>
            <xdr:cNvSpPr txBox="1"/>
          </xdr:nvSpPr>
          <xdr:spPr>
            <a:xfrm>
              <a:off x="4694465" y="16886465"/>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i="1">
                            <a:latin typeface="Cambria Math" panose="02040503050406030204" pitchFamily="18" charset="0"/>
                          </a:rPr>
                          <m:t>𝑑</m:t>
                        </m:r>
                        <m:r>
                          <a:rPr lang="es-ES" sz="1100" b="0" i="1">
                            <a:latin typeface="Cambria Math" panose="02040503050406030204" pitchFamily="18" charset="0"/>
                          </a:rPr>
                          <m:t>𝑥</m:t>
                        </m:r>
                        <m:r>
                          <a:rPr lang="es-ES" sz="1100" b="0" i="1">
                            <a:latin typeface="Cambria Math" panose="02040503050406030204" pitchFamily="18" charset="0"/>
                          </a:rPr>
                          <m:t>6</m:t>
                        </m:r>
                      </m:num>
                      <m:den>
                        <m:r>
                          <a:rPr lang="es-ES" sz="1100" i="1">
                            <a:latin typeface="Cambria Math" panose="02040503050406030204" pitchFamily="18" charset="0"/>
                          </a:rPr>
                          <m:t>𝑑</m:t>
                        </m:r>
                        <m:r>
                          <a:rPr lang="es-ES" sz="1100" b="0" i="1">
                            <a:latin typeface="Cambria Math" panose="02040503050406030204" pitchFamily="18" charset="0"/>
                          </a:rPr>
                          <m:t>𝑡</m:t>
                        </m:r>
                      </m:den>
                    </m:f>
                    <m:r>
                      <a:rPr lang="es-ES" sz="1100" b="0" i="1">
                        <a:latin typeface="Cambria Math" panose="02040503050406030204" pitchFamily="18" charset="0"/>
                      </a:rPr>
                      <m:t>=</m:t>
                    </m:r>
                    <m:sSub>
                      <m:sSubPr>
                        <m:ctrlPr>
                          <a:rPr lang="es-ES" sz="1100" b="0" i="1">
                            <a:latin typeface="Cambria Math" panose="02040503050406030204" pitchFamily="18" charset="0"/>
                          </a:rPr>
                        </m:ctrlPr>
                      </m:sSubPr>
                      <m:e>
                        <m:r>
                          <a:rPr lang="es-ES" sz="1100" b="0" i="1">
                            <a:latin typeface="Cambria Math" panose="02040503050406030204" pitchFamily="18" charset="0"/>
                          </a:rPr>
                          <m:t>𝐵</m:t>
                        </m:r>
                      </m:e>
                      <m:sub>
                        <m:r>
                          <a:rPr lang="es-ES" sz="1100" b="0" i="1">
                            <a:latin typeface="Cambria Math" panose="02040503050406030204" pitchFamily="18" charset="0"/>
                          </a:rPr>
                          <m:t>𝑑𝑒𝑥</m:t>
                        </m:r>
                      </m:sub>
                    </m:sSub>
                    <m:r>
                      <a:rPr lang="es-ES" sz="1100" b="0" i="1">
                        <a:latin typeface="Cambria Math" panose="02040503050406030204" pitchFamily="18" charset="0"/>
                      </a:rPr>
                      <m:t>∗</m:t>
                    </m:r>
                    <m:r>
                      <a:rPr lang="el-GR" sz="1100" b="0" i="1">
                        <a:solidFill>
                          <a:schemeClr val="dk1"/>
                        </a:solidFill>
                        <a:effectLst/>
                        <a:latin typeface="Cambria Math" panose="02040503050406030204" pitchFamily="18" charset="0"/>
                        <a:ea typeface="+mn-ea"/>
                        <a:cs typeface="+mn-cs"/>
                      </a:rPr>
                      <m:t>𝛽</m:t>
                    </m:r>
                    <m:r>
                      <a:rPr lang="es-ES" sz="1100" b="0" i="1">
                        <a:solidFill>
                          <a:schemeClr val="dk1"/>
                        </a:solidFill>
                        <a:effectLst/>
                        <a:latin typeface="Cambria Math" panose="02040503050406030204" pitchFamily="18" charset="0"/>
                        <a:ea typeface="+mn-ea"/>
                        <a:cs typeface="+mn-cs"/>
                      </a:rPr>
                      <m:t>∗</m:t>
                    </m:r>
                    <m:r>
                      <a:rPr lang="es-ES" sz="1100" b="0" i="1">
                        <a:solidFill>
                          <a:schemeClr val="dk1"/>
                        </a:solidFill>
                        <a:effectLst/>
                        <a:latin typeface="Cambria Math" panose="02040503050406030204" pitchFamily="18" charset="0"/>
                        <a:ea typeface="+mn-ea"/>
                        <a:cs typeface="+mn-cs"/>
                      </a:rPr>
                      <m:t>𝑥</m:t>
                    </m:r>
                    <m:r>
                      <a:rPr lang="es-ES" sz="1100" b="0" i="1">
                        <a:solidFill>
                          <a:schemeClr val="dk1"/>
                        </a:solidFill>
                        <a:effectLst/>
                        <a:latin typeface="Cambria Math" panose="02040503050406030204" pitchFamily="18" charset="0"/>
                        <a:ea typeface="+mn-ea"/>
                        <a:cs typeface="+mn-cs"/>
                      </a:rPr>
                      <m:t>2</m:t>
                    </m:r>
                  </m:oMath>
                </m:oMathPara>
              </a14:m>
              <a:endParaRPr lang="es-ES" sz="1100" b="0"/>
            </a:p>
            <a:p>
              <a:endParaRPr lang="es-ES" sz="1100"/>
            </a:p>
          </xdr:txBody>
        </xdr:sp>
      </mc:Choice>
      <mc:Fallback xmlns="">
        <xdr:sp macro="" textlink="">
          <xdr:nvSpPr>
            <xdr:cNvPr id="43" name="CuadroTexto 42">
              <a:extLst>
                <a:ext uri="{FF2B5EF4-FFF2-40B4-BE49-F238E27FC236}">
                  <a16:creationId xmlns:a16="http://schemas.microsoft.com/office/drawing/2014/main" id="{00000000-0008-0000-0900-000009000000}"/>
                </a:ext>
              </a:extLst>
            </xdr:cNvPr>
            <xdr:cNvSpPr txBox="1"/>
          </xdr:nvSpPr>
          <xdr:spPr>
            <a:xfrm>
              <a:off x="4694465" y="16886465"/>
              <a:ext cx="3507923"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0">
                  <a:latin typeface="Cambria Math" panose="02040503050406030204" pitchFamily="18" charset="0"/>
                </a:rPr>
                <a:t>𝑑</a:t>
              </a:r>
              <a:r>
                <a:rPr lang="es-ES" sz="1100" b="0" i="0">
                  <a:latin typeface="Cambria Math" panose="02040503050406030204" pitchFamily="18" charset="0"/>
                </a:rPr>
                <a:t>𝑥6/</a:t>
              </a:r>
              <a:r>
                <a:rPr lang="es-ES" sz="1100" i="0">
                  <a:latin typeface="Cambria Math" panose="02040503050406030204" pitchFamily="18" charset="0"/>
                </a:rPr>
                <a:t>𝑑</a:t>
              </a:r>
              <a:r>
                <a:rPr lang="es-ES" sz="1100" b="0" i="0">
                  <a:latin typeface="Cambria Math" panose="02040503050406030204" pitchFamily="18" charset="0"/>
                </a:rPr>
                <a:t>𝑡=𝐵_𝑑𝑒𝑥∗</a:t>
              </a:r>
              <a:r>
                <a:rPr lang="el-GR" sz="1100" b="0" i="0">
                  <a:solidFill>
                    <a:schemeClr val="dk1"/>
                  </a:solidFill>
                  <a:effectLst/>
                  <a:latin typeface="+mn-lt"/>
                  <a:ea typeface="+mn-ea"/>
                  <a:cs typeface="+mn-cs"/>
                </a:rPr>
                <a:t>𝛽</a:t>
              </a:r>
              <a:r>
                <a:rPr lang="es-ES" sz="1100" b="0" i="0">
                  <a:solidFill>
                    <a:schemeClr val="dk1"/>
                  </a:solidFill>
                  <a:effectLst/>
                  <a:latin typeface="Cambria Math" panose="02040503050406030204" pitchFamily="18" charset="0"/>
                  <a:ea typeface="+mn-ea"/>
                  <a:cs typeface="+mn-cs"/>
                </a:rPr>
                <a:t>∗𝑥2</a:t>
              </a:r>
              <a:endParaRPr lang="es-ES" sz="1100" b="0"/>
            </a:p>
            <a:p>
              <a:endParaRPr lang="es-ES" sz="1100"/>
            </a:p>
          </xdr:txBody>
        </xdr:sp>
      </mc:Fallback>
    </mc:AlternateContent>
    <xdr:clientData/>
  </xdr:twoCellAnchor>
  <xdr:twoCellAnchor>
    <xdr:from>
      <xdr:col>0</xdr:col>
      <xdr:colOff>802821</xdr:colOff>
      <xdr:row>51</xdr:row>
      <xdr:rowOff>122464</xdr:rowOff>
    </xdr:from>
    <xdr:to>
      <xdr:col>0</xdr:col>
      <xdr:colOff>3893280</xdr:colOff>
      <xdr:row>54</xdr:row>
      <xdr:rowOff>149679</xdr:rowOff>
    </xdr:to>
    <mc:AlternateContent xmlns:mc="http://schemas.openxmlformats.org/markup-compatibility/2006" xmlns:a14="http://schemas.microsoft.com/office/drawing/2010/main">
      <mc:Choice Requires="a14">
        <xdr:sp macro="" textlink="">
          <xdr:nvSpPr>
            <xdr:cNvPr id="44" name="CuadroTexto 43">
              <a:extLst>
                <a:ext uri="{FF2B5EF4-FFF2-40B4-BE49-F238E27FC236}">
                  <a16:creationId xmlns:a16="http://schemas.microsoft.com/office/drawing/2014/main" id="{00000000-0008-0000-0300-00002C000000}"/>
                </a:ext>
              </a:extLst>
            </xdr:cNvPr>
            <xdr:cNvSpPr txBox="1"/>
          </xdr:nvSpPr>
          <xdr:spPr>
            <a:xfrm>
              <a:off x="802821" y="10028464"/>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sSub>
                      <m:sSubPr>
                        <m:ctrlPr>
                          <a:rPr lang="es-ES" sz="1100" b="0" i="1">
                            <a:latin typeface="Cambria Math" panose="02040503050406030204" pitchFamily="18" charset="0"/>
                          </a:rPr>
                        </m:ctrlPr>
                      </m:sSubPr>
                      <m:e>
                        <m:r>
                          <a:rPr lang="es-ES" sz="1100" b="0" i="1">
                            <a:latin typeface="Cambria Math" panose="02040503050406030204" pitchFamily="18" charset="0"/>
                          </a:rPr>
                          <m:t>𝐴</m:t>
                        </m:r>
                      </m:e>
                      <m:sub>
                        <m:r>
                          <a:rPr lang="es-ES" sz="1100" b="0" i="1">
                            <a:latin typeface="Cambria Math" panose="02040503050406030204" pitchFamily="18" charset="0"/>
                          </a:rPr>
                          <m:t>𝑖</m:t>
                        </m:r>
                      </m:sub>
                    </m:sSub>
                    <m:r>
                      <a:rPr lang="es-ES" sz="1100" b="0" i="1">
                        <a:latin typeface="Cambria Math" panose="02040503050406030204" pitchFamily="18" charset="0"/>
                      </a:rPr>
                      <m:t>=</m:t>
                    </m:r>
                    <m:r>
                      <a:rPr lang="es-ES" sz="1100" b="0" i="1">
                        <a:latin typeface="Cambria Math" panose="02040503050406030204" pitchFamily="18" charset="0"/>
                      </a:rPr>
                      <m:t>𝐴</m:t>
                    </m:r>
                    <m:sSub>
                      <m:sSubPr>
                        <m:ctrlPr>
                          <a:rPr lang="es-ES" sz="1100" b="0" i="1">
                            <a:latin typeface="Cambria Math" panose="02040503050406030204" pitchFamily="18" charset="0"/>
                          </a:rPr>
                        </m:ctrlPr>
                      </m:sSubPr>
                      <m:e>
                        <m:r>
                          <a:rPr lang="es-ES" sz="1100" b="0" i="1">
                            <a:latin typeface="Cambria Math" panose="02040503050406030204" pitchFamily="18" charset="0"/>
                          </a:rPr>
                          <m:t>𝑜</m:t>
                        </m:r>
                      </m:e>
                      <m:sub>
                        <m:r>
                          <a:rPr lang="es-ES" sz="1100" b="0" i="1">
                            <a:latin typeface="Cambria Math" panose="02040503050406030204" pitchFamily="18" charset="0"/>
                          </a:rPr>
                          <m:t>𝑖</m:t>
                        </m:r>
                      </m:sub>
                    </m:sSub>
                    <m:r>
                      <a:rPr lang="es-ES" sz="1100" b="0" i="1">
                        <a:latin typeface="Cambria Math" panose="02040503050406030204" pitchFamily="18" charset="0"/>
                      </a:rPr>
                      <m:t>∗</m:t>
                    </m:r>
                    <m:r>
                      <m:rPr>
                        <m:sty m:val="p"/>
                      </m:rPr>
                      <a:rPr lang="es-ES" sz="1100" b="0" i="0">
                        <a:latin typeface="Cambria Math" panose="02040503050406030204" pitchFamily="18" charset="0"/>
                      </a:rPr>
                      <m:t>exp</m:t>
                    </m:r>
                    <m:r>
                      <a:rPr lang="es-ES" sz="1100" b="0" i="1">
                        <a:latin typeface="Cambria Math" panose="02040503050406030204" pitchFamily="18" charset="0"/>
                      </a:rPr>
                      <m:t>⁡(−</m:t>
                    </m:r>
                    <m:f>
                      <m:fPr>
                        <m:ctrlPr>
                          <a:rPr lang="es-ES" sz="1100" b="0" i="1">
                            <a:latin typeface="Cambria Math" panose="02040503050406030204" pitchFamily="18" charset="0"/>
                          </a:rPr>
                        </m:ctrlPr>
                      </m:fPr>
                      <m:num>
                        <m:sSub>
                          <m:sSubPr>
                            <m:ctrlPr>
                              <a:rPr lang="es-ES" sz="1100" b="0" i="1">
                                <a:latin typeface="Cambria Math" panose="02040503050406030204" pitchFamily="18" charset="0"/>
                              </a:rPr>
                            </m:ctrlPr>
                          </m:sSubPr>
                          <m:e>
                            <m:r>
                              <a:rPr lang="es-ES" sz="1100" b="0" i="1">
                                <a:latin typeface="Cambria Math" panose="02040503050406030204" pitchFamily="18" charset="0"/>
                              </a:rPr>
                              <m:t>𝐸</m:t>
                            </m:r>
                          </m:e>
                          <m:sub>
                            <m:r>
                              <a:rPr lang="el-GR" sz="1100" b="0" i="1">
                                <a:latin typeface="Cambria Math" panose="02040503050406030204" pitchFamily="18" charset="0"/>
                              </a:rPr>
                              <m:t>𝛼</m:t>
                            </m:r>
                          </m:sub>
                        </m:sSub>
                      </m:num>
                      <m:den>
                        <m:r>
                          <a:rPr lang="es-ES" sz="1100" b="0" i="1">
                            <a:latin typeface="Cambria Math" panose="02040503050406030204" pitchFamily="18" charset="0"/>
                          </a:rPr>
                          <m:t>𝑅𝑇</m:t>
                        </m:r>
                      </m:den>
                    </m:f>
                    <m:r>
                      <a:rPr lang="es-ES" sz="1100" b="0" i="1">
                        <a:latin typeface="Cambria Math" panose="02040503050406030204" pitchFamily="18" charset="0"/>
                      </a:rPr>
                      <m:t>)</m:t>
                    </m:r>
                  </m:oMath>
                </m:oMathPara>
              </a14:m>
              <a:endParaRPr lang="es-ES" sz="1100"/>
            </a:p>
          </xdr:txBody>
        </xdr:sp>
      </mc:Choice>
      <mc:Fallback xmlns="">
        <xdr:sp macro="" textlink="">
          <xdr:nvSpPr>
            <xdr:cNvPr id="44" name="CuadroTexto 43">
              <a:extLst>
                <a:ext uri="{FF2B5EF4-FFF2-40B4-BE49-F238E27FC236}">
                  <a16:creationId xmlns:a16="http://schemas.microsoft.com/office/drawing/2014/main" id="{00000000-0008-0000-0900-000009000000}"/>
                </a:ext>
              </a:extLst>
            </xdr:cNvPr>
            <xdr:cNvSpPr txBox="1"/>
          </xdr:nvSpPr>
          <xdr:spPr>
            <a:xfrm>
              <a:off x="802821" y="10028464"/>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0" i="0">
                  <a:latin typeface="Cambria Math" panose="02040503050406030204" pitchFamily="18" charset="0"/>
                </a:rPr>
                <a:t>𝐴_𝑖=𝐴𝑜_𝑖∗exp⁡(−𝐸_</a:t>
              </a:r>
              <a:r>
                <a:rPr lang="el-GR" sz="1100" b="0" i="0">
                  <a:latin typeface="Cambria Math" panose="02040503050406030204" pitchFamily="18" charset="0"/>
                </a:rPr>
                <a:t>𝛼</a:t>
              </a:r>
              <a:r>
                <a:rPr lang="es-ES" sz="1100" b="0" i="0">
                  <a:latin typeface="Cambria Math" panose="02040503050406030204" pitchFamily="18" charset="0"/>
                </a:rPr>
                <a:t>/𝑅𝑇)</a:t>
              </a:r>
              <a:endParaRPr lang="es-ES" sz="1100"/>
            </a:p>
          </xdr:txBody>
        </xdr:sp>
      </mc:Fallback>
    </mc:AlternateContent>
    <xdr:clientData/>
  </xdr:twoCellAnchor>
  <xdr:twoCellAnchor>
    <xdr:from>
      <xdr:col>0</xdr:col>
      <xdr:colOff>4748894</xdr:colOff>
      <xdr:row>51</xdr:row>
      <xdr:rowOff>136072</xdr:rowOff>
    </xdr:from>
    <xdr:to>
      <xdr:col>2</xdr:col>
      <xdr:colOff>341817</xdr:colOff>
      <xdr:row>54</xdr:row>
      <xdr:rowOff>163287</xdr:rowOff>
    </xdr:to>
    <mc:AlternateContent xmlns:mc="http://schemas.openxmlformats.org/markup-compatibility/2006" xmlns:a14="http://schemas.microsoft.com/office/drawing/2010/main">
      <mc:Choice Requires="a14">
        <xdr:sp macro="" textlink="">
          <xdr:nvSpPr>
            <xdr:cNvPr id="45" name="CuadroTexto 44">
              <a:extLst>
                <a:ext uri="{FF2B5EF4-FFF2-40B4-BE49-F238E27FC236}">
                  <a16:creationId xmlns:a16="http://schemas.microsoft.com/office/drawing/2014/main" id="{00000000-0008-0000-0300-00002D000000}"/>
                </a:ext>
              </a:extLst>
            </xdr:cNvPr>
            <xdr:cNvSpPr txBox="1"/>
          </xdr:nvSpPr>
          <xdr:spPr>
            <a:xfrm>
              <a:off x="4748894" y="10042072"/>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sSub>
                      <m:sSubPr>
                        <m:ctrlPr>
                          <a:rPr lang="es-ES" sz="1100" b="0" i="1">
                            <a:latin typeface="Cambria Math" panose="02040503050406030204" pitchFamily="18" charset="0"/>
                          </a:rPr>
                        </m:ctrlPr>
                      </m:sSubPr>
                      <m:e>
                        <m:r>
                          <a:rPr lang="es-ES" sz="1100" b="0" i="1">
                            <a:latin typeface="Cambria Math" panose="02040503050406030204" pitchFamily="18" charset="0"/>
                          </a:rPr>
                          <m:t>𝑘</m:t>
                        </m:r>
                      </m:e>
                      <m:sub>
                        <m:r>
                          <a:rPr lang="es-ES" sz="1100" b="0" i="1">
                            <a:latin typeface="Cambria Math" panose="02040503050406030204" pitchFamily="18" charset="0"/>
                          </a:rPr>
                          <m:t>𝑖</m:t>
                        </m:r>
                      </m:sub>
                    </m:sSub>
                    <m:r>
                      <a:rPr lang="es-ES" sz="1100" b="0" i="1">
                        <a:latin typeface="Cambria Math" panose="02040503050406030204" pitchFamily="18" charset="0"/>
                      </a:rPr>
                      <m:t>=</m:t>
                    </m:r>
                    <m:r>
                      <a:rPr lang="es-ES" sz="1100" b="0" i="1">
                        <a:latin typeface="Cambria Math" panose="02040503050406030204" pitchFamily="18" charset="0"/>
                      </a:rPr>
                      <m:t>𝑘</m:t>
                    </m:r>
                    <m:sSub>
                      <m:sSubPr>
                        <m:ctrlPr>
                          <a:rPr lang="es-ES" sz="1100" b="0" i="1">
                            <a:latin typeface="Cambria Math" panose="02040503050406030204" pitchFamily="18" charset="0"/>
                          </a:rPr>
                        </m:ctrlPr>
                      </m:sSubPr>
                      <m:e>
                        <m:r>
                          <a:rPr lang="es-ES" sz="1100" b="0" i="1">
                            <a:latin typeface="Cambria Math" panose="02040503050406030204" pitchFamily="18" charset="0"/>
                          </a:rPr>
                          <m:t>𝑜</m:t>
                        </m:r>
                      </m:e>
                      <m:sub>
                        <m:r>
                          <a:rPr lang="es-ES" sz="1100" b="0" i="1">
                            <a:latin typeface="Cambria Math" panose="02040503050406030204" pitchFamily="18" charset="0"/>
                          </a:rPr>
                          <m:t>𝑖</m:t>
                        </m:r>
                      </m:sub>
                    </m:sSub>
                    <m:r>
                      <a:rPr lang="es-ES" sz="1100" b="0" i="1">
                        <a:latin typeface="Cambria Math" panose="02040503050406030204" pitchFamily="18" charset="0"/>
                      </a:rPr>
                      <m:t>∗</m:t>
                    </m:r>
                    <m:r>
                      <m:rPr>
                        <m:sty m:val="p"/>
                      </m:rPr>
                      <a:rPr lang="es-ES" sz="1100" b="0" i="0">
                        <a:latin typeface="Cambria Math" panose="02040503050406030204" pitchFamily="18" charset="0"/>
                      </a:rPr>
                      <m:t>exp</m:t>
                    </m:r>
                    <m:r>
                      <a:rPr lang="es-ES" sz="1100" b="0" i="1">
                        <a:latin typeface="Cambria Math" panose="02040503050406030204" pitchFamily="18" charset="0"/>
                      </a:rPr>
                      <m:t>⁡(−</m:t>
                    </m:r>
                    <m:f>
                      <m:fPr>
                        <m:ctrlPr>
                          <a:rPr lang="es-ES" sz="1100" b="0" i="1">
                            <a:latin typeface="Cambria Math" panose="02040503050406030204" pitchFamily="18" charset="0"/>
                          </a:rPr>
                        </m:ctrlPr>
                      </m:fPr>
                      <m:num>
                        <m:sSub>
                          <m:sSubPr>
                            <m:ctrlPr>
                              <a:rPr lang="es-ES" sz="1100" b="0" i="1">
                                <a:latin typeface="Cambria Math" panose="02040503050406030204" pitchFamily="18" charset="0"/>
                              </a:rPr>
                            </m:ctrlPr>
                          </m:sSubPr>
                          <m:e>
                            <m:r>
                              <a:rPr lang="es-ES" sz="1100" b="0" i="1">
                                <a:latin typeface="Cambria Math" panose="02040503050406030204" pitchFamily="18" charset="0"/>
                              </a:rPr>
                              <m:t>𝐸𝑑</m:t>
                            </m:r>
                          </m:e>
                          <m:sub>
                            <m:r>
                              <a:rPr lang="es-ES" sz="1100" b="0" i="1">
                                <a:latin typeface="Cambria Math" panose="02040503050406030204" pitchFamily="18" charset="0"/>
                              </a:rPr>
                              <m:t>𝑖</m:t>
                            </m:r>
                          </m:sub>
                        </m:sSub>
                      </m:num>
                      <m:den>
                        <m:r>
                          <a:rPr lang="es-ES" sz="1100" b="0" i="1">
                            <a:latin typeface="Cambria Math" panose="02040503050406030204" pitchFamily="18" charset="0"/>
                          </a:rPr>
                          <m:t>𝑅𝑇</m:t>
                        </m:r>
                      </m:den>
                    </m:f>
                    <m:r>
                      <a:rPr lang="es-ES" sz="1100" b="0" i="1">
                        <a:latin typeface="Cambria Math" panose="02040503050406030204" pitchFamily="18" charset="0"/>
                      </a:rPr>
                      <m:t>)</m:t>
                    </m:r>
                  </m:oMath>
                </m:oMathPara>
              </a14:m>
              <a:endParaRPr lang="es-ES" sz="1100"/>
            </a:p>
          </xdr:txBody>
        </xdr:sp>
      </mc:Choice>
      <mc:Fallback xmlns="">
        <xdr:sp macro="" textlink="">
          <xdr:nvSpPr>
            <xdr:cNvPr id="45" name="CuadroTexto 44">
              <a:extLst>
                <a:ext uri="{FF2B5EF4-FFF2-40B4-BE49-F238E27FC236}">
                  <a16:creationId xmlns:a16="http://schemas.microsoft.com/office/drawing/2014/main" id="{00000000-0008-0000-0900-000009000000}"/>
                </a:ext>
              </a:extLst>
            </xdr:cNvPr>
            <xdr:cNvSpPr txBox="1"/>
          </xdr:nvSpPr>
          <xdr:spPr>
            <a:xfrm>
              <a:off x="4748894" y="10042072"/>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0" i="0">
                  <a:latin typeface="Cambria Math" panose="02040503050406030204" pitchFamily="18" charset="0"/>
                </a:rPr>
                <a:t>𝑘_𝑖=𝑘𝑜_𝑖∗exp⁡(−〖𝐸𝑑〗_𝑖/𝑅𝑇)</a:t>
              </a:r>
              <a:endParaRPr lang="es-ES" sz="1100"/>
            </a:p>
          </xdr:txBody>
        </xdr:sp>
      </mc:Fallback>
    </mc:AlternateContent>
    <xdr:clientData/>
  </xdr:twoCellAnchor>
  <xdr:twoCellAnchor>
    <xdr:from>
      <xdr:col>0</xdr:col>
      <xdr:colOff>816429</xdr:colOff>
      <xdr:row>55</xdr:row>
      <xdr:rowOff>68036</xdr:rowOff>
    </xdr:from>
    <xdr:to>
      <xdr:col>0</xdr:col>
      <xdr:colOff>3906888</xdr:colOff>
      <xdr:row>58</xdr:row>
      <xdr:rowOff>95251</xdr:rowOff>
    </xdr:to>
    <mc:AlternateContent xmlns:mc="http://schemas.openxmlformats.org/markup-compatibility/2006" xmlns:a14="http://schemas.microsoft.com/office/drawing/2010/main">
      <mc:Choice Requires="a14">
        <xdr:sp macro="" textlink="">
          <xdr:nvSpPr>
            <xdr:cNvPr id="46" name="CuadroTexto 45">
              <a:extLst>
                <a:ext uri="{FF2B5EF4-FFF2-40B4-BE49-F238E27FC236}">
                  <a16:creationId xmlns:a16="http://schemas.microsoft.com/office/drawing/2014/main" id="{00000000-0008-0000-0300-00002E000000}"/>
                </a:ext>
              </a:extLst>
            </xdr:cNvPr>
            <xdr:cNvSpPr txBox="1"/>
          </xdr:nvSpPr>
          <xdr:spPr>
            <a:xfrm>
              <a:off x="816429" y="10736036"/>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sSub>
                      <m:sSubPr>
                        <m:ctrlPr>
                          <a:rPr lang="es-ES" sz="1100" b="0" i="1">
                            <a:latin typeface="Cambria Math" panose="02040503050406030204" pitchFamily="18" charset="0"/>
                          </a:rPr>
                        </m:ctrlPr>
                      </m:sSubPr>
                      <m:e>
                        <m:r>
                          <a:rPr lang="es-ES" sz="1100" b="0" i="1">
                            <a:latin typeface="Cambria Math" panose="02040503050406030204" pitchFamily="18" charset="0"/>
                          </a:rPr>
                          <m:t>𝐵</m:t>
                        </m:r>
                      </m:e>
                      <m:sub>
                        <m:r>
                          <a:rPr lang="es-ES" sz="1100" b="0" i="1">
                            <a:latin typeface="Cambria Math" panose="02040503050406030204" pitchFamily="18" charset="0"/>
                          </a:rPr>
                          <m:t>𝑖</m:t>
                        </m:r>
                      </m:sub>
                    </m:sSub>
                    <m:r>
                      <a:rPr lang="es-ES" sz="1100" b="0" i="1">
                        <a:latin typeface="Cambria Math" panose="02040503050406030204" pitchFamily="18" charset="0"/>
                      </a:rPr>
                      <m:t>=</m:t>
                    </m:r>
                    <m:r>
                      <a:rPr lang="es-ES" sz="1100" b="0" i="1">
                        <a:latin typeface="Cambria Math" panose="02040503050406030204" pitchFamily="18" charset="0"/>
                      </a:rPr>
                      <m:t>𝐵</m:t>
                    </m:r>
                    <m:sSub>
                      <m:sSubPr>
                        <m:ctrlPr>
                          <a:rPr lang="es-ES" sz="1100" b="0" i="1">
                            <a:latin typeface="Cambria Math" panose="02040503050406030204" pitchFamily="18" charset="0"/>
                          </a:rPr>
                        </m:ctrlPr>
                      </m:sSubPr>
                      <m:e>
                        <m:r>
                          <a:rPr lang="es-ES" sz="1100" b="0" i="1">
                            <a:latin typeface="Cambria Math" panose="02040503050406030204" pitchFamily="18" charset="0"/>
                          </a:rPr>
                          <m:t>𝑜</m:t>
                        </m:r>
                      </m:e>
                      <m:sub>
                        <m:r>
                          <a:rPr lang="es-ES" sz="1100" b="0" i="1">
                            <a:latin typeface="Cambria Math" panose="02040503050406030204" pitchFamily="18" charset="0"/>
                          </a:rPr>
                          <m:t>𝑖</m:t>
                        </m:r>
                      </m:sub>
                    </m:sSub>
                    <m:r>
                      <a:rPr lang="es-ES" sz="1100" b="0" i="1">
                        <a:latin typeface="Cambria Math" panose="02040503050406030204" pitchFamily="18" charset="0"/>
                      </a:rPr>
                      <m:t>∗</m:t>
                    </m:r>
                    <m:r>
                      <m:rPr>
                        <m:sty m:val="p"/>
                      </m:rPr>
                      <a:rPr lang="es-ES" sz="1100" b="0" i="0">
                        <a:latin typeface="Cambria Math" panose="02040503050406030204" pitchFamily="18" charset="0"/>
                      </a:rPr>
                      <m:t>exp</m:t>
                    </m:r>
                    <m:r>
                      <a:rPr lang="es-ES" sz="1100" b="0" i="1">
                        <a:latin typeface="Cambria Math" panose="02040503050406030204" pitchFamily="18" charset="0"/>
                      </a:rPr>
                      <m:t>⁡(−</m:t>
                    </m:r>
                    <m:f>
                      <m:fPr>
                        <m:ctrlPr>
                          <a:rPr lang="es-ES" sz="1100" b="0" i="1">
                            <a:latin typeface="Cambria Math" panose="02040503050406030204" pitchFamily="18" charset="0"/>
                          </a:rPr>
                        </m:ctrlPr>
                      </m:fPr>
                      <m:num>
                        <m:sSub>
                          <m:sSubPr>
                            <m:ctrlPr>
                              <a:rPr lang="es-ES" sz="1100" b="0" i="1">
                                <a:latin typeface="Cambria Math" panose="02040503050406030204" pitchFamily="18" charset="0"/>
                              </a:rPr>
                            </m:ctrlPr>
                          </m:sSubPr>
                          <m:e>
                            <m:r>
                              <a:rPr lang="es-ES" sz="1100" b="0" i="1">
                                <a:latin typeface="Cambria Math" panose="02040503050406030204" pitchFamily="18" charset="0"/>
                              </a:rPr>
                              <m:t>𝐸</m:t>
                            </m:r>
                          </m:e>
                          <m:sub>
                            <m:r>
                              <a:rPr lang="el-GR" sz="1100" b="0" i="1">
                                <a:latin typeface="Cambria Math" panose="02040503050406030204" pitchFamily="18" charset="0"/>
                              </a:rPr>
                              <m:t>𝛽</m:t>
                            </m:r>
                          </m:sub>
                        </m:sSub>
                      </m:num>
                      <m:den>
                        <m:r>
                          <a:rPr lang="es-ES" sz="1100" b="0" i="1">
                            <a:latin typeface="Cambria Math" panose="02040503050406030204" pitchFamily="18" charset="0"/>
                          </a:rPr>
                          <m:t>𝑅𝑇</m:t>
                        </m:r>
                      </m:den>
                    </m:f>
                    <m:r>
                      <a:rPr lang="es-ES" sz="1100" b="0" i="1">
                        <a:latin typeface="Cambria Math" panose="02040503050406030204" pitchFamily="18" charset="0"/>
                      </a:rPr>
                      <m:t>)</m:t>
                    </m:r>
                  </m:oMath>
                </m:oMathPara>
              </a14:m>
              <a:endParaRPr lang="es-ES" sz="1100"/>
            </a:p>
          </xdr:txBody>
        </xdr:sp>
      </mc:Choice>
      <mc:Fallback xmlns="">
        <xdr:sp macro="" textlink="">
          <xdr:nvSpPr>
            <xdr:cNvPr id="46" name="CuadroTexto 45">
              <a:extLst>
                <a:ext uri="{FF2B5EF4-FFF2-40B4-BE49-F238E27FC236}">
                  <a16:creationId xmlns:a16="http://schemas.microsoft.com/office/drawing/2014/main" id="{00000000-0008-0000-0900-000009000000}"/>
                </a:ext>
              </a:extLst>
            </xdr:cNvPr>
            <xdr:cNvSpPr txBox="1"/>
          </xdr:nvSpPr>
          <xdr:spPr>
            <a:xfrm>
              <a:off x="816429" y="10736036"/>
              <a:ext cx="3090459" cy="598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0" i="0">
                  <a:latin typeface="Cambria Math" panose="02040503050406030204" pitchFamily="18" charset="0"/>
                </a:rPr>
                <a:t>𝐵_𝑖=𝐵𝑜_𝑖∗exp⁡(−𝐸_</a:t>
              </a:r>
              <a:r>
                <a:rPr lang="el-GR" sz="1100" b="0" i="0">
                  <a:latin typeface="Cambria Math" panose="02040503050406030204" pitchFamily="18" charset="0"/>
                </a:rPr>
                <a:t>𝛽</a:t>
              </a:r>
              <a:r>
                <a:rPr lang="es-ES" sz="1100" b="0" i="0">
                  <a:latin typeface="Cambria Math" panose="02040503050406030204" pitchFamily="18" charset="0"/>
                </a:rPr>
                <a:t>/𝑅𝑇)</a:t>
              </a:r>
              <a:endParaRPr lang="es-ES" sz="1100"/>
            </a:p>
          </xdr:txBody>
        </xdr:sp>
      </mc:Fallback>
    </mc:AlternateContent>
    <xdr:clientData/>
  </xdr:twoCellAnchor>
  <xdr:twoCellAnchor>
    <xdr:from>
      <xdr:col>0</xdr:col>
      <xdr:colOff>4631532</xdr:colOff>
      <xdr:row>55</xdr:row>
      <xdr:rowOff>59531</xdr:rowOff>
    </xdr:from>
    <xdr:to>
      <xdr:col>2</xdr:col>
      <xdr:colOff>750093</xdr:colOff>
      <xdr:row>60</xdr:row>
      <xdr:rowOff>142875</xdr:rowOff>
    </xdr:to>
    <mc:AlternateContent xmlns:mc="http://schemas.openxmlformats.org/markup-compatibility/2006">
      <mc:Choice xmlns:a14="http://schemas.microsoft.com/office/drawing/2010/main" Requires="a14">
        <xdr:sp macro="" textlink="">
          <xdr:nvSpPr>
            <xdr:cNvPr id="41" name="CuadroTexto 40">
              <a:extLst>
                <a:ext uri="{FF2B5EF4-FFF2-40B4-BE49-F238E27FC236}">
                  <a16:creationId xmlns:a16="http://schemas.microsoft.com/office/drawing/2014/main" id="{00000000-0008-0000-0300-00002D000000}"/>
                </a:ext>
              </a:extLst>
            </xdr:cNvPr>
            <xdr:cNvSpPr txBox="1"/>
          </xdr:nvSpPr>
          <xdr:spPr>
            <a:xfrm>
              <a:off x="4631532" y="10537031"/>
              <a:ext cx="3619499" cy="10358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a:rPr lang="es-ES" sz="1100" i="1">
                        <a:solidFill>
                          <a:schemeClr val="dk1"/>
                        </a:solidFill>
                        <a:effectLst/>
                        <a:latin typeface="+mn-lt"/>
                        <a:ea typeface="+mn-ea"/>
                        <a:cs typeface="+mn-cs"/>
                      </a:rPr>
                      <m:t>𝑢</m:t>
                    </m:r>
                    <m:d>
                      <m:dPr>
                        <m:ctrlPr>
                          <a:rPr lang="es-CL" sz="1100" i="1">
                            <a:solidFill>
                              <a:schemeClr val="dk1"/>
                            </a:solidFill>
                            <a:effectLst/>
                            <a:latin typeface="+mn-lt"/>
                            <a:ea typeface="+mn-ea"/>
                            <a:cs typeface="+mn-cs"/>
                          </a:rPr>
                        </m:ctrlPr>
                      </m:dPr>
                      <m:e>
                        <m:r>
                          <a:rPr lang="es-ES" sz="1100" i="1">
                            <a:solidFill>
                              <a:schemeClr val="dk1"/>
                            </a:solidFill>
                            <a:effectLst/>
                            <a:latin typeface="+mn-lt"/>
                            <a:ea typeface="+mn-ea"/>
                            <a:cs typeface="+mn-cs"/>
                          </a:rPr>
                          <m:t>𝑇</m:t>
                        </m:r>
                      </m:e>
                    </m:d>
                    <m:r>
                      <a:rPr lang="es-ES" sz="1100" i="1">
                        <a:solidFill>
                          <a:schemeClr val="dk1"/>
                        </a:solidFill>
                        <a:effectLst/>
                        <a:latin typeface="+mn-lt"/>
                        <a:ea typeface="+mn-ea"/>
                        <a:cs typeface="+mn-cs"/>
                      </a:rPr>
                      <m:t>=</m:t>
                    </m:r>
                    <m:m>
                      <m:mPr>
                        <m:mcs>
                          <m:mc>
                            <m:mcPr>
                              <m:count m:val="1"/>
                              <m:mcJc m:val="center"/>
                            </m:mcPr>
                          </m:mc>
                        </m:mcs>
                        <m:ctrlPr>
                          <a:rPr lang="es-CL" sz="1100" i="1">
                            <a:solidFill>
                              <a:schemeClr val="dk1"/>
                            </a:solidFill>
                            <a:effectLst/>
                            <a:latin typeface="+mn-lt"/>
                            <a:ea typeface="+mn-ea"/>
                            <a:cs typeface="+mn-cs"/>
                          </a:rPr>
                        </m:ctrlPr>
                      </m:mPr>
                      <m:mr>
                        <m:e>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𝑥</m:t>
                              </m:r>
                            </m:e>
                            <m:sub>
                              <m:r>
                                <a:rPr lang="es-ES" sz="1100" i="1">
                                  <a:solidFill>
                                    <a:schemeClr val="dk1"/>
                                  </a:solidFill>
                                  <a:effectLst/>
                                  <a:latin typeface="+mn-lt"/>
                                  <a:ea typeface="+mn-ea"/>
                                  <a:cs typeface="+mn-cs"/>
                                </a:rPr>
                                <m:t>1</m:t>
                              </m:r>
                            </m:sub>
                          </m:sSub>
                          <m:d>
                            <m:dPr>
                              <m:ctrlPr>
                                <a:rPr lang="es-CL" sz="1100" i="1">
                                  <a:solidFill>
                                    <a:schemeClr val="dk1"/>
                                  </a:solidFill>
                                  <a:effectLst/>
                                  <a:latin typeface="+mn-lt"/>
                                  <a:ea typeface="+mn-ea"/>
                                  <a:cs typeface="+mn-cs"/>
                                </a:rPr>
                              </m:ctrlPr>
                            </m:dPr>
                            <m:e>
                              <m:r>
                                <a:rPr lang="es-ES" sz="1100" i="1">
                                  <a:solidFill>
                                    <a:schemeClr val="dk1"/>
                                  </a:solidFill>
                                  <a:effectLst/>
                                  <a:latin typeface="+mn-lt"/>
                                  <a:ea typeface="+mn-ea"/>
                                  <a:cs typeface="+mn-cs"/>
                                </a:rPr>
                                <m:t>𝑡</m:t>
                              </m:r>
                              <m:r>
                                <a:rPr lang="es-ES" sz="1100" i="1">
                                  <a:solidFill>
                                    <a:schemeClr val="dk1"/>
                                  </a:solidFill>
                                  <a:effectLst/>
                                  <a:latin typeface="+mn-lt"/>
                                  <a:ea typeface="+mn-ea"/>
                                  <a:cs typeface="+mn-cs"/>
                                </a:rPr>
                                <m:t>=0</m:t>
                              </m:r>
                            </m:e>
                          </m:d>
                          <m:r>
                            <a:rPr lang="es-ES" sz="1100" i="1">
                              <a:solidFill>
                                <a:schemeClr val="dk1"/>
                              </a:solidFill>
                              <a:effectLst/>
                              <a:latin typeface="+mn-lt"/>
                              <a:ea typeface="+mn-ea"/>
                              <a:cs typeface="+mn-cs"/>
                            </a:rPr>
                            <m:t>;</m:t>
                          </m:r>
                          <m:r>
                            <a:rPr lang="es-ES" sz="1100" i="1">
                              <a:solidFill>
                                <a:schemeClr val="dk1"/>
                              </a:solidFill>
                              <a:effectLst/>
                              <a:latin typeface="+mn-lt"/>
                              <a:ea typeface="+mn-ea"/>
                              <a:cs typeface="+mn-cs"/>
                            </a:rPr>
                            <m:t>𝑇</m:t>
                          </m:r>
                          <m:r>
                            <a:rPr lang="es-ES" sz="1100" i="1">
                              <a:solidFill>
                                <a:schemeClr val="dk1"/>
                              </a:solidFill>
                              <a:effectLst/>
                              <a:latin typeface="+mn-lt"/>
                              <a:ea typeface="+mn-ea"/>
                              <a:cs typeface="+mn-cs"/>
                            </a:rPr>
                            <m:t>&lt;</m:t>
                          </m:r>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𝑢</m:t>
                              </m:r>
                            </m:sub>
                          </m:sSub>
                        </m:e>
                      </m:mr>
                      <m:mr>
                        <m:e>
                          <m:sSub>
                            <m:sSubPr>
                              <m:ctrlPr>
                                <a:rPr lang="es-CL" sz="1100" i="1">
                                  <a:solidFill>
                                    <a:schemeClr val="dk1"/>
                                  </a:solidFill>
                                  <a:effectLst/>
                                  <a:latin typeface="+mn-lt"/>
                                  <a:ea typeface="+mn-ea"/>
                                  <a:cs typeface="+mn-cs"/>
                                </a:rPr>
                              </m:ctrlPr>
                            </m:sSubPr>
                            <m:e>
                              <m:d>
                                <m:dPr>
                                  <m:ctrlPr>
                                    <a:rPr lang="es-CL" sz="1100" i="1">
                                      <a:solidFill>
                                        <a:schemeClr val="dk1"/>
                                      </a:solidFill>
                                      <a:effectLst/>
                                      <a:latin typeface="+mn-lt"/>
                                      <a:ea typeface="+mn-ea"/>
                                      <a:cs typeface="+mn-cs"/>
                                    </a:rPr>
                                  </m:ctrlPr>
                                </m:dPr>
                                <m:e>
                                  <m:f>
                                    <m:fPr>
                                      <m:ctrlPr>
                                        <a:rPr lang="es-CL" sz="1100" i="1">
                                          <a:solidFill>
                                            <a:schemeClr val="dk1"/>
                                          </a:solidFill>
                                          <a:effectLst/>
                                          <a:latin typeface="+mn-lt"/>
                                          <a:ea typeface="+mn-ea"/>
                                          <a:cs typeface="+mn-cs"/>
                                        </a:rPr>
                                      </m:ctrlPr>
                                    </m:fPr>
                                    <m:num>
                                      <m:r>
                                        <a:rPr lang="es-ES" sz="1100" i="1">
                                          <a:solidFill>
                                            <a:schemeClr val="dk1"/>
                                          </a:solidFill>
                                          <a:effectLst/>
                                          <a:latin typeface="+mn-lt"/>
                                          <a:ea typeface="+mn-ea"/>
                                          <a:cs typeface="+mn-cs"/>
                                        </a:rPr>
                                        <m:t>𝑇</m:t>
                                      </m:r>
                                    </m:num>
                                    <m:den>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𝑢</m:t>
                                          </m:r>
                                        </m:sub>
                                      </m:sSub>
                                      <m:r>
                                        <a:rPr lang="es-ES" sz="1100" i="1">
                                          <a:solidFill>
                                            <a:schemeClr val="dk1"/>
                                          </a:solidFill>
                                          <a:effectLst/>
                                          <a:latin typeface="+mn-lt"/>
                                          <a:ea typeface="+mn-ea"/>
                                          <a:cs typeface="+mn-cs"/>
                                        </a:rPr>
                                        <m:t>−</m:t>
                                      </m:r>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𝑔</m:t>
                                          </m:r>
                                        </m:sub>
                                      </m:sSub>
                                    </m:den>
                                  </m:f>
                                  <m:r>
                                    <a:rPr lang="es-ES" sz="1100" i="1">
                                      <a:solidFill>
                                        <a:schemeClr val="dk1"/>
                                      </a:solidFill>
                                      <a:effectLst/>
                                      <a:latin typeface="+mn-lt"/>
                                      <a:ea typeface="+mn-ea"/>
                                      <a:cs typeface="+mn-cs"/>
                                    </a:rPr>
                                    <m:t>+</m:t>
                                  </m:r>
                                  <m:f>
                                    <m:fPr>
                                      <m:ctrlPr>
                                        <a:rPr lang="es-CL" sz="1100" i="1">
                                          <a:solidFill>
                                            <a:schemeClr val="dk1"/>
                                          </a:solidFill>
                                          <a:effectLst/>
                                          <a:latin typeface="+mn-lt"/>
                                          <a:ea typeface="+mn-ea"/>
                                          <a:cs typeface="+mn-cs"/>
                                        </a:rPr>
                                      </m:ctrlPr>
                                    </m:fPr>
                                    <m:num>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𝑔</m:t>
                                          </m:r>
                                        </m:sub>
                                      </m:sSub>
                                    </m:num>
                                    <m:den>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𝑔</m:t>
                                          </m:r>
                                        </m:sub>
                                      </m:sSub>
                                      <m:r>
                                        <a:rPr lang="es-ES" sz="1100" i="1">
                                          <a:solidFill>
                                            <a:schemeClr val="dk1"/>
                                          </a:solidFill>
                                          <a:effectLst/>
                                          <a:latin typeface="+mn-lt"/>
                                          <a:ea typeface="+mn-ea"/>
                                          <a:cs typeface="+mn-cs"/>
                                        </a:rPr>
                                        <m:t>−</m:t>
                                      </m:r>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𝑢</m:t>
                                          </m:r>
                                        </m:sub>
                                      </m:sSub>
                                    </m:den>
                                  </m:f>
                                </m:e>
                              </m:d>
                              <m:r>
                                <a:rPr lang="es-ES" sz="1100" i="1">
                                  <a:solidFill>
                                    <a:schemeClr val="dk1"/>
                                  </a:solidFill>
                                  <a:effectLst/>
                                  <a:latin typeface="+mn-lt"/>
                                  <a:ea typeface="+mn-ea"/>
                                  <a:cs typeface="+mn-cs"/>
                                </a:rPr>
                                <m:t>∗</m:t>
                              </m:r>
                              <m:r>
                                <a:rPr lang="es-ES" sz="1100" i="1">
                                  <a:solidFill>
                                    <a:schemeClr val="dk1"/>
                                  </a:solidFill>
                                  <a:effectLst/>
                                  <a:latin typeface="+mn-lt"/>
                                  <a:ea typeface="+mn-ea"/>
                                  <a:cs typeface="+mn-cs"/>
                                </a:rPr>
                                <m:t>𝑥</m:t>
                              </m:r>
                            </m:e>
                            <m:sub>
                              <m:r>
                                <a:rPr lang="es-ES" sz="1100" i="1">
                                  <a:solidFill>
                                    <a:schemeClr val="dk1"/>
                                  </a:solidFill>
                                  <a:effectLst/>
                                  <a:latin typeface="+mn-lt"/>
                                  <a:ea typeface="+mn-ea"/>
                                  <a:cs typeface="+mn-cs"/>
                                </a:rPr>
                                <m:t>1</m:t>
                              </m:r>
                            </m:sub>
                          </m:sSub>
                          <m:d>
                            <m:dPr>
                              <m:ctrlPr>
                                <a:rPr lang="es-CL" sz="1100" i="1">
                                  <a:solidFill>
                                    <a:schemeClr val="dk1"/>
                                  </a:solidFill>
                                  <a:effectLst/>
                                  <a:latin typeface="+mn-lt"/>
                                  <a:ea typeface="+mn-ea"/>
                                  <a:cs typeface="+mn-cs"/>
                                </a:rPr>
                              </m:ctrlPr>
                            </m:dPr>
                            <m:e>
                              <m:r>
                                <a:rPr lang="es-ES" sz="1100" i="1">
                                  <a:solidFill>
                                    <a:schemeClr val="dk1"/>
                                  </a:solidFill>
                                  <a:effectLst/>
                                  <a:latin typeface="+mn-lt"/>
                                  <a:ea typeface="+mn-ea"/>
                                  <a:cs typeface="+mn-cs"/>
                                </a:rPr>
                                <m:t>𝑡</m:t>
                              </m:r>
                              <m:r>
                                <a:rPr lang="es-ES" sz="1100" i="1">
                                  <a:solidFill>
                                    <a:schemeClr val="dk1"/>
                                  </a:solidFill>
                                  <a:effectLst/>
                                  <a:latin typeface="+mn-lt"/>
                                  <a:ea typeface="+mn-ea"/>
                                  <a:cs typeface="+mn-cs"/>
                                </a:rPr>
                                <m:t>=0</m:t>
                              </m:r>
                            </m:e>
                          </m:d>
                          <m:r>
                            <a:rPr lang="es-ES" sz="1100" i="1">
                              <a:solidFill>
                                <a:schemeClr val="dk1"/>
                              </a:solidFill>
                              <a:effectLst/>
                              <a:latin typeface="+mn-lt"/>
                              <a:ea typeface="+mn-ea"/>
                              <a:cs typeface="+mn-cs"/>
                            </a:rPr>
                            <m:t>;</m:t>
                          </m:r>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𝑢</m:t>
                              </m:r>
                            </m:sub>
                          </m:sSub>
                          <m:r>
                            <a:rPr lang="es-ES" sz="1100" i="1">
                              <a:solidFill>
                                <a:schemeClr val="dk1"/>
                              </a:solidFill>
                              <a:effectLst/>
                              <a:latin typeface="+mn-lt"/>
                              <a:ea typeface="+mn-ea"/>
                              <a:cs typeface="+mn-cs"/>
                            </a:rPr>
                            <m:t>≤</m:t>
                          </m:r>
                          <m:r>
                            <a:rPr lang="es-ES" sz="1100" i="1">
                              <a:solidFill>
                                <a:schemeClr val="dk1"/>
                              </a:solidFill>
                              <a:effectLst/>
                              <a:latin typeface="+mn-lt"/>
                              <a:ea typeface="+mn-ea"/>
                              <a:cs typeface="+mn-cs"/>
                            </a:rPr>
                            <m:t>𝑇</m:t>
                          </m:r>
                          <m:r>
                            <a:rPr lang="es-ES" sz="1100" i="1">
                              <a:solidFill>
                                <a:schemeClr val="dk1"/>
                              </a:solidFill>
                              <a:effectLst/>
                              <a:latin typeface="+mn-lt"/>
                              <a:ea typeface="+mn-ea"/>
                              <a:cs typeface="+mn-cs"/>
                            </a:rPr>
                            <m:t>≤</m:t>
                          </m:r>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𝑔</m:t>
                              </m:r>
                            </m:sub>
                          </m:sSub>
                        </m:e>
                      </m:mr>
                      <m:mr>
                        <m:e>
                          <m:r>
                            <a:rPr lang="es-ES" sz="1100" i="1">
                              <a:solidFill>
                                <a:schemeClr val="dk1"/>
                              </a:solidFill>
                              <a:effectLst/>
                              <a:latin typeface="+mn-lt"/>
                              <a:ea typeface="+mn-ea"/>
                              <a:cs typeface="+mn-cs"/>
                            </a:rPr>
                            <m:t>0;</m:t>
                          </m:r>
                          <m:r>
                            <a:rPr lang="es-ES" sz="1100" i="1">
                              <a:solidFill>
                                <a:schemeClr val="dk1"/>
                              </a:solidFill>
                              <a:effectLst/>
                              <a:latin typeface="+mn-lt"/>
                              <a:ea typeface="+mn-ea"/>
                              <a:cs typeface="+mn-cs"/>
                            </a:rPr>
                            <m:t>𝑇</m:t>
                          </m:r>
                          <m:r>
                            <a:rPr lang="es-ES" sz="1100" i="1">
                              <a:solidFill>
                                <a:schemeClr val="dk1"/>
                              </a:solidFill>
                              <a:effectLst/>
                              <a:latin typeface="+mn-lt"/>
                              <a:ea typeface="+mn-ea"/>
                              <a:cs typeface="+mn-cs"/>
                            </a:rPr>
                            <m:t>&gt;</m:t>
                          </m:r>
                          <m:sSub>
                            <m:sSubPr>
                              <m:ctrlPr>
                                <a:rPr lang="es-CL" sz="1100" i="1">
                                  <a:solidFill>
                                    <a:schemeClr val="dk1"/>
                                  </a:solidFill>
                                  <a:effectLst/>
                                  <a:latin typeface="+mn-lt"/>
                                  <a:ea typeface="+mn-ea"/>
                                  <a:cs typeface="+mn-cs"/>
                                </a:rPr>
                              </m:ctrlPr>
                            </m:sSubPr>
                            <m:e>
                              <m:r>
                                <a:rPr lang="es-ES" sz="1100" i="1">
                                  <a:solidFill>
                                    <a:schemeClr val="dk1"/>
                                  </a:solidFill>
                                  <a:effectLst/>
                                  <a:latin typeface="+mn-lt"/>
                                  <a:ea typeface="+mn-ea"/>
                                  <a:cs typeface="+mn-cs"/>
                                </a:rPr>
                                <m:t>𝑇</m:t>
                              </m:r>
                            </m:e>
                            <m:sub>
                              <m:r>
                                <a:rPr lang="es-ES" sz="1100" i="1">
                                  <a:solidFill>
                                    <a:schemeClr val="dk1"/>
                                  </a:solidFill>
                                  <a:effectLst/>
                                  <a:latin typeface="+mn-lt"/>
                                  <a:ea typeface="+mn-ea"/>
                                  <a:cs typeface="+mn-cs"/>
                                </a:rPr>
                                <m:t>𝑔</m:t>
                              </m:r>
                            </m:sub>
                          </m:sSub>
                        </m:e>
                      </m:mr>
                    </m:m>
                  </m:oMath>
                </m:oMathPara>
              </a14:m>
              <a:endParaRPr lang="es-ES" sz="1100"/>
            </a:p>
          </xdr:txBody>
        </xdr:sp>
      </mc:Choice>
      <mc:Fallback>
        <xdr:sp macro="" textlink="">
          <xdr:nvSpPr>
            <xdr:cNvPr id="41" name="CuadroTexto 40">
              <a:extLst>
                <a:ext uri="{FF2B5EF4-FFF2-40B4-BE49-F238E27FC236}">
                  <a16:creationId xmlns:a16="http://schemas.microsoft.com/office/drawing/2014/main" id="{00000000-0008-0000-0300-00002D000000}"/>
                </a:ext>
              </a:extLst>
            </xdr:cNvPr>
            <xdr:cNvSpPr txBox="1"/>
          </xdr:nvSpPr>
          <xdr:spPr>
            <a:xfrm>
              <a:off x="4631532" y="10537031"/>
              <a:ext cx="3619499" cy="10358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s-ES" sz="1100" i="0">
                  <a:solidFill>
                    <a:schemeClr val="dk1"/>
                  </a:solidFill>
                  <a:effectLst/>
                  <a:latin typeface="+mn-lt"/>
                  <a:ea typeface="+mn-ea"/>
                  <a:cs typeface="+mn-cs"/>
                </a:rPr>
                <a:t>𝑢</a:t>
              </a:r>
              <a:r>
                <a:rPr lang="es-CL" sz="1100" i="0">
                  <a:solidFill>
                    <a:schemeClr val="dk1"/>
                  </a:solidFill>
                  <a:effectLst/>
                  <a:latin typeface="+mn-lt"/>
                  <a:ea typeface="+mn-ea"/>
                  <a:cs typeface="+mn-cs"/>
                </a:rPr>
                <a:t>(</a:t>
              </a:r>
              <a:r>
                <a:rPr lang="es-ES" sz="1100" i="0">
                  <a:solidFill>
                    <a:schemeClr val="dk1"/>
                  </a:solidFill>
                  <a:effectLst/>
                  <a:latin typeface="+mn-lt"/>
                  <a:ea typeface="+mn-ea"/>
                  <a:cs typeface="+mn-cs"/>
                </a:rPr>
                <a:t>𝑇)=</a:t>
              </a:r>
              <a:r>
                <a:rPr lang="es-CL" sz="1100" i="0">
                  <a:solidFill>
                    <a:schemeClr val="dk1"/>
                  </a:solidFill>
                  <a:effectLst/>
                  <a:latin typeface="+mn-lt"/>
                  <a:ea typeface="+mn-ea"/>
                  <a:cs typeface="+mn-cs"/>
                </a:rPr>
                <a:t>■8(</a:t>
              </a:r>
              <a:r>
                <a:rPr lang="es-ES" sz="1100" i="0">
                  <a:solidFill>
                    <a:schemeClr val="dk1"/>
                  </a:solidFill>
                  <a:effectLst/>
                  <a:latin typeface="+mn-lt"/>
                  <a:ea typeface="+mn-ea"/>
                  <a:cs typeface="+mn-cs"/>
                </a:rPr>
                <a:t>𝑥</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1</a:t>
              </a:r>
              <a:r>
                <a:rPr lang="es-CL" sz="1100" i="0">
                  <a:solidFill>
                    <a:schemeClr val="dk1"/>
                  </a:solidFill>
                  <a:effectLst/>
                  <a:latin typeface="+mn-lt"/>
                  <a:ea typeface="+mn-ea"/>
                  <a:cs typeface="+mn-cs"/>
                </a:rPr>
                <a:t> (</a:t>
              </a:r>
              <a:r>
                <a:rPr lang="es-ES" sz="1100" i="0">
                  <a:solidFill>
                    <a:schemeClr val="dk1"/>
                  </a:solidFill>
                  <a:effectLst/>
                  <a:latin typeface="+mn-lt"/>
                  <a:ea typeface="+mn-ea"/>
                  <a:cs typeface="+mn-cs"/>
                </a:rPr>
                <a:t>𝑡=0);𝑇&lt;𝑇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𝑢@</a:t>
              </a:r>
              <a:r>
                <a:rPr lang="es-CL" sz="1100" i="0">
                  <a:solidFill>
                    <a:schemeClr val="dk1"/>
                  </a:solidFill>
                  <a:effectLst/>
                  <a:latin typeface="+mn-lt"/>
                  <a:ea typeface="+mn-ea"/>
                  <a:cs typeface="+mn-cs"/>
                </a:rPr>
                <a:t>〖(</a:t>
              </a:r>
              <a:r>
                <a:rPr lang="es-ES" sz="1100" i="0">
                  <a:solidFill>
                    <a:schemeClr val="dk1"/>
                  </a:solidFill>
                  <a:effectLst/>
                  <a:latin typeface="+mn-lt"/>
                  <a:ea typeface="+mn-ea"/>
                  <a:cs typeface="+mn-cs"/>
                </a:rPr>
                <a:t>𝑇</a:t>
              </a:r>
              <a:r>
                <a:rPr lang="es-CL" sz="1100" i="0">
                  <a:solidFill>
                    <a:schemeClr val="dk1"/>
                  </a:solidFill>
                  <a:effectLst/>
                  <a:latin typeface="+mn-lt"/>
                  <a:ea typeface="+mn-ea"/>
                  <a:cs typeface="+mn-cs"/>
                </a:rPr>
                <a:t>/(</a:t>
              </a:r>
              <a:r>
                <a:rPr lang="es-ES" sz="1100" i="0">
                  <a:solidFill>
                    <a:schemeClr val="dk1"/>
                  </a:solidFill>
                  <a:effectLst/>
                  <a:latin typeface="+mn-lt"/>
                  <a:ea typeface="+mn-ea"/>
                  <a:cs typeface="+mn-cs"/>
                </a:rPr>
                <a:t>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𝑢−𝑇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𝑔 </a:t>
              </a:r>
              <a:r>
                <a:rPr lang="es-CL" sz="1100" i="0">
                  <a:solidFill>
                    <a:schemeClr val="dk1"/>
                  </a:solidFill>
                  <a:effectLst/>
                  <a:latin typeface="+mn-lt"/>
                  <a:ea typeface="+mn-ea"/>
                  <a:cs typeface="+mn-cs"/>
                </a:rPr>
                <a:t>)</a:t>
              </a:r>
              <a:r>
                <a:rPr lang="es-ES" sz="1100" i="0">
                  <a:solidFill>
                    <a:schemeClr val="dk1"/>
                  </a:solidFill>
                  <a:effectLst/>
                  <a:latin typeface="+mn-lt"/>
                  <a:ea typeface="+mn-ea"/>
                  <a:cs typeface="+mn-cs"/>
                </a:rPr>
                <a:t>+𝑇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𝑔</a:t>
              </a:r>
              <a:r>
                <a:rPr lang="es-CL" sz="1100" i="0">
                  <a:solidFill>
                    <a:schemeClr val="dk1"/>
                  </a:solidFill>
                  <a:effectLst/>
                  <a:latin typeface="+mn-lt"/>
                  <a:ea typeface="+mn-ea"/>
                  <a:cs typeface="+mn-cs"/>
                </a:rPr>
                <a:t>/(</a:t>
              </a:r>
              <a:r>
                <a:rPr lang="es-ES" sz="1100" i="0">
                  <a:solidFill>
                    <a:schemeClr val="dk1"/>
                  </a:solidFill>
                  <a:effectLst/>
                  <a:latin typeface="+mn-lt"/>
                  <a:ea typeface="+mn-ea"/>
                  <a:cs typeface="+mn-cs"/>
                </a:rPr>
                <a:t>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𝑔−𝑇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𝑢 </a:t>
              </a:r>
              <a:r>
                <a:rPr lang="es-CL" sz="1100" i="0">
                  <a:solidFill>
                    <a:schemeClr val="dk1"/>
                  </a:solidFill>
                  <a:effectLst/>
                  <a:latin typeface="+mn-lt"/>
                  <a:ea typeface="+mn-ea"/>
                  <a:cs typeface="+mn-cs"/>
                </a:rPr>
                <a:t>)</a:t>
              </a:r>
              <a:r>
                <a:rPr lang="es-ES" sz="1100" i="0">
                  <a:solidFill>
                    <a:schemeClr val="dk1"/>
                  </a:solidFill>
                  <a:effectLst/>
                  <a:latin typeface="+mn-lt"/>
                  <a:ea typeface="+mn-ea"/>
                  <a:cs typeface="+mn-cs"/>
                </a:rPr>
                <a:t>)∗𝑥</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1</a:t>
              </a:r>
              <a:r>
                <a:rPr lang="es-CL" sz="1100" i="0">
                  <a:solidFill>
                    <a:schemeClr val="dk1"/>
                  </a:solidFill>
                  <a:effectLst/>
                  <a:latin typeface="+mn-lt"/>
                  <a:ea typeface="+mn-ea"/>
                  <a:cs typeface="+mn-cs"/>
                </a:rPr>
                <a:t> (</a:t>
              </a:r>
              <a:r>
                <a:rPr lang="es-ES" sz="1100" i="0">
                  <a:solidFill>
                    <a:schemeClr val="dk1"/>
                  </a:solidFill>
                  <a:effectLst/>
                  <a:latin typeface="+mn-lt"/>
                  <a:ea typeface="+mn-ea"/>
                  <a:cs typeface="+mn-cs"/>
                </a:rPr>
                <a:t>𝑡=0);𝑇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𝑢≤𝑇≤𝑇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𝑔@0;𝑇&gt;𝑇</a:t>
              </a:r>
              <a:r>
                <a:rPr lang="es-CL" sz="1100" i="0">
                  <a:solidFill>
                    <a:schemeClr val="dk1"/>
                  </a:solidFill>
                  <a:effectLst/>
                  <a:latin typeface="+mn-lt"/>
                  <a:ea typeface="+mn-ea"/>
                  <a:cs typeface="+mn-cs"/>
                </a:rPr>
                <a:t>_</a:t>
              </a:r>
              <a:r>
                <a:rPr lang="es-ES" sz="1100" i="0">
                  <a:solidFill>
                    <a:schemeClr val="dk1"/>
                  </a:solidFill>
                  <a:effectLst/>
                  <a:latin typeface="+mn-lt"/>
                  <a:ea typeface="+mn-ea"/>
                  <a:cs typeface="+mn-cs"/>
                </a:rPr>
                <a:t>𝑔 )</a:t>
              </a:r>
              <a:endParaRPr lang="es-ES" sz="1100"/>
            </a:p>
          </xdr:txBody>
        </xdr:sp>
      </mc:Fallback>
    </mc:AlternateContent>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2</xdr:row>
      <xdr:rowOff>0</xdr:rowOff>
    </xdr:from>
    <xdr:to>
      <xdr:col>4</xdr:col>
      <xdr:colOff>466725</xdr:colOff>
      <xdr:row>7</xdr:row>
      <xdr:rowOff>19050</xdr:rowOff>
    </xdr:to>
    <xdr:sp macro="" textlink="">
      <xdr:nvSpPr>
        <xdr:cNvPr id="12" name="Entrada manual 11">
          <a:extLst>
            <a:ext uri="{FF2B5EF4-FFF2-40B4-BE49-F238E27FC236}">
              <a16:creationId xmlns:a16="http://schemas.microsoft.com/office/drawing/2014/main" id="{00000000-0008-0000-0400-00000C000000}"/>
            </a:ext>
          </a:extLst>
        </xdr:cNvPr>
        <xdr:cNvSpPr/>
      </xdr:nvSpPr>
      <xdr:spPr>
        <a:xfrm>
          <a:off x="3448050" y="381000"/>
          <a:ext cx="2200275" cy="971550"/>
        </a:xfrm>
        <a:prstGeom prst="flowChartManualInp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E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3</xdr:col>
      <xdr:colOff>123825</xdr:colOff>
      <xdr:row>7</xdr:row>
      <xdr:rowOff>38100</xdr:rowOff>
    </xdr:from>
    <xdr:to>
      <xdr:col>3</xdr:col>
      <xdr:colOff>133350</xdr:colOff>
      <xdr:row>11</xdr:row>
      <xdr:rowOff>180975</xdr:rowOff>
    </xdr:to>
    <xdr:cxnSp macro="">
      <xdr:nvCxnSpPr>
        <xdr:cNvPr id="17" name="Conector recto de flecha 16">
          <a:extLst>
            <a:ext uri="{FF2B5EF4-FFF2-40B4-BE49-F238E27FC236}">
              <a16:creationId xmlns:a16="http://schemas.microsoft.com/office/drawing/2014/main" id="{00000000-0008-0000-0400-000011000000}"/>
            </a:ext>
          </a:extLst>
        </xdr:cNvPr>
        <xdr:cNvCxnSpPr/>
      </xdr:nvCxnSpPr>
      <xdr:spPr>
        <a:xfrm>
          <a:off x="4505325" y="1371600"/>
          <a:ext cx="9525" cy="904875"/>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476250</xdr:colOff>
      <xdr:row>4</xdr:row>
      <xdr:rowOff>97693</xdr:rowOff>
    </xdr:from>
    <xdr:to>
      <xdr:col>4</xdr:col>
      <xdr:colOff>2967404</xdr:colOff>
      <xdr:row>4</xdr:row>
      <xdr:rowOff>104775</xdr:rowOff>
    </xdr:to>
    <xdr:cxnSp macro="">
      <xdr:nvCxnSpPr>
        <xdr:cNvPr id="18" name="Conector recto de flecha 17">
          <a:extLst>
            <a:ext uri="{FF2B5EF4-FFF2-40B4-BE49-F238E27FC236}">
              <a16:creationId xmlns:a16="http://schemas.microsoft.com/office/drawing/2014/main" id="{00000000-0008-0000-0400-000012000000}"/>
            </a:ext>
          </a:extLst>
        </xdr:cNvPr>
        <xdr:cNvCxnSpPr/>
      </xdr:nvCxnSpPr>
      <xdr:spPr>
        <a:xfrm flipV="1">
          <a:off x="6191250" y="879231"/>
          <a:ext cx="2491154" cy="7082"/>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395288</xdr:colOff>
      <xdr:row>3</xdr:row>
      <xdr:rowOff>111323</xdr:rowOff>
    </xdr:from>
    <xdr:to>
      <xdr:col>3</xdr:col>
      <xdr:colOff>1190625</xdr:colOff>
      <xdr:row>6</xdr:row>
      <xdr:rowOff>63698</xdr:rowOff>
    </xdr:to>
    <xdr:sp macro="" textlink="">
      <xdr:nvSpPr>
        <xdr:cNvPr id="20" name="CuadroTexto 19">
          <a:extLst>
            <a:ext uri="{FF2B5EF4-FFF2-40B4-BE49-F238E27FC236}">
              <a16:creationId xmlns:a16="http://schemas.microsoft.com/office/drawing/2014/main" id="{00000000-0008-0000-0400-000014000000}"/>
            </a:ext>
          </a:extLst>
        </xdr:cNvPr>
        <xdr:cNvSpPr txBox="1"/>
      </xdr:nvSpPr>
      <xdr:spPr>
        <a:xfrm>
          <a:off x="4130874" y="691753"/>
          <a:ext cx="1762720" cy="5328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2000"/>
            <a:t>Filtro</a:t>
          </a:r>
          <a:r>
            <a:rPr lang="es-ES" sz="2000" baseline="0"/>
            <a:t> Prensa</a:t>
          </a:r>
          <a:endParaRPr lang="es-ES" sz="2000"/>
        </a:p>
      </xdr:txBody>
    </xdr:sp>
    <xdr:clientData/>
  </xdr:twoCellAnchor>
  <xdr:oneCellAnchor>
    <xdr:from>
      <xdr:col>0</xdr:col>
      <xdr:colOff>2185865</xdr:colOff>
      <xdr:row>2</xdr:row>
      <xdr:rowOff>101845</xdr:rowOff>
    </xdr:from>
    <xdr:ext cx="714374" cy="275460"/>
    <mc:AlternateContent xmlns:mc="http://schemas.openxmlformats.org/markup-compatibility/2006" xmlns:a14="http://schemas.microsoft.com/office/drawing/2010/main">
      <mc:Choice Requires="a14">
        <xdr:sp macro="" textlink="">
          <xdr:nvSpPr>
            <xdr:cNvPr id="21" name="CuadroTexto 20">
              <a:extLst>
                <a:ext uri="{FF2B5EF4-FFF2-40B4-BE49-F238E27FC236}">
                  <a16:creationId xmlns:a16="http://schemas.microsoft.com/office/drawing/2014/main" id="{00000000-0008-0000-0400-000015000000}"/>
                </a:ext>
              </a:extLst>
            </xdr:cNvPr>
            <xdr:cNvSpPr txBox="1"/>
          </xdr:nvSpPr>
          <xdr:spPr>
            <a:xfrm>
              <a:off x="2185865" y="492614"/>
              <a:ext cx="714374" cy="2754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ES" sz="1100" b="0" i="1">
                            <a:latin typeface="Cambria Math" panose="02040503050406030204" pitchFamily="18" charset="0"/>
                          </a:rPr>
                          <m:t>h</m:t>
                        </m:r>
                        <m:r>
                          <a:rPr lang="es-ES" sz="1100" b="0" i="1">
                            <a:latin typeface="Cambria Math" panose="02040503050406030204" pitchFamily="18" charset="0"/>
                          </a:rPr>
                          <m:t>,</m:t>
                        </m:r>
                        <m:r>
                          <a:rPr lang="es-ES" sz="1100" b="0" i="1">
                            <a:latin typeface="Cambria Math" panose="02040503050406030204" pitchFamily="18" charset="0"/>
                          </a:rPr>
                          <m:t>𝑖𝑛</m:t>
                        </m:r>
                      </m:sub>
                    </m:sSub>
                  </m:oMath>
                </m:oMathPara>
              </a14:m>
              <a:endParaRPr lang="es-ES" sz="1100"/>
            </a:p>
          </xdr:txBody>
        </xdr:sp>
      </mc:Choice>
      <mc:Fallback xmlns="">
        <xdr:sp macro="" textlink="">
          <xdr:nvSpPr>
            <xdr:cNvPr id="21" name="CuadroTexto 20">
              <a:extLst>
                <a:ext uri="{FF2B5EF4-FFF2-40B4-BE49-F238E27FC236}">
                  <a16:creationId xmlns:a16="http://schemas.microsoft.com/office/drawing/2014/main" id="{00000000-0008-0000-0400-000015000000}"/>
                </a:ext>
              </a:extLst>
            </xdr:cNvPr>
            <xdr:cNvSpPr txBox="1"/>
          </xdr:nvSpPr>
          <xdr:spPr>
            <a:xfrm>
              <a:off x="2185865" y="492614"/>
              <a:ext cx="714374" cy="2754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𝐹_(ℎ,𝑖𝑛)</a:t>
              </a:r>
              <a:endParaRPr lang="es-ES" sz="1100"/>
            </a:p>
          </xdr:txBody>
        </xdr:sp>
      </mc:Fallback>
    </mc:AlternateContent>
    <xdr:clientData/>
  </xdr:oneCellAnchor>
  <xdr:oneCellAnchor>
    <xdr:from>
      <xdr:col>4</xdr:col>
      <xdr:colOff>1614365</xdr:colOff>
      <xdr:row>2</xdr:row>
      <xdr:rowOff>17829</xdr:rowOff>
    </xdr:from>
    <xdr:ext cx="714374" cy="269304"/>
    <mc:AlternateContent xmlns:mc="http://schemas.openxmlformats.org/markup-compatibility/2006" xmlns:a14="http://schemas.microsoft.com/office/drawing/2010/main">
      <mc:Choice Requires="a14">
        <xdr:sp macro="" textlink="">
          <xdr:nvSpPr>
            <xdr:cNvPr id="23" name="CuadroTexto 22">
              <a:extLst>
                <a:ext uri="{FF2B5EF4-FFF2-40B4-BE49-F238E27FC236}">
                  <a16:creationId xmlns:a16="http://schemas.microsoft.com/office/drawing/2014/main" id="{00000000-0008-0000-0400-000017000000}"/>
                </a:ext>
              </a:extLst>
            </xdr:cNvPr>
            <xdr:cNvSpPr txBox="1"/>
          </xdr:nvSpPr>
          <xdr:spPr>
            <a:xfrm>
              <a:off x="7329365" y="408598"/>
              <a:ext cx="714374" cy="2693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ES" sz="1100" b="0" i="1">
                            <a:latin typeface="Cambria Math" panose="02040503050406030204" pitchFamily="18" charset="0"/>
                          </a:rPr>
                          <m:t>h</m:t>
                        </m:r>
                        <m:r>
                          <a:rPr lang="es-ES" sz="1100" b="0" i="1">
                            <a:latin typeface="Cambria Math" panose="02040503050406030204" pitchFamily="18" charset="0"/>
                          </a:rPr>
                          <m:t>,</m:t>
                        </m:r>
                        <m:r>
                          <a:rPr lang="es-ES" sz="1100" b="0" i="1">
                            <a:latin typeface="Cambria Math" panose="02040503050406030204" pitchFamily="18" charset="0"/>
                          </a:rPr>
                          <m:t>𝑜𝑢𝑡</m:t>
                        </m:r>
                      </m:sub>
                    </m:sSub>
                  </m:oMath>
                </m:oMathPara>
              </a14:m>
              <a:endParaRPr lang="es-ES" sz="1100"/>
            </a:p>
          </xdr:txBody>
        </xdr:sp>
      </mc:Choice>
      <mc:Fallback xmlns="">
        <xdr:sp macro="" textlink="">
          <xdr:nvSpPr>
            <xdr:cNvPr id="23" name="CuadroTexto 22">
              <a:extLst>
                <a:ext uri="{FF2B5EF4-FFF2-40B4-BE49-F238E27FC236}">
                  <a16:creationId xmlns:a16="http://schemas.microsoft.com/office/drawing/2014/main" id="{00000000-0008-0000-0400-000017000000}"/>
                </a:ext>
              </a:extLst>
            </xdr:cNvPr>
            <xdr:cNvSpPr txBox="1"/>
          </xdr:nvSpPr>
          <xdr:spPr>
            <a:xfrm>
              <a:off x="7329365" y="408598"/>
              <a:ext cx="714374" cy="2693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𝐹_(ℎ,𝑜𝑢𝑡)</a:t>
              </a:r>
              <a:endParaRPr lang="es-ES" sz="1100"/>
            </a:p>
          </xdr:txBody>
        </xdr:sp>
      </mc:Fallback>
    </mc:AlternateContent>
    <xdr:clientData/>
  </xdr:oneCellAnchor>
  <xdr:twoCellAnchor>
    <xdr:from>
      <xdr:col>4</xdr:col>
      <xdr:colOff>1336186</xdr:colOff>
      <xdr:row>5</xdr:row>
      <xdr:rowOff>65211</xdr:rowOff>
    </xdr:from>
    <xdr:to>
      <xdr:col>4</xdr:col>
      <xdr:colOff>2812562</xdr:colOff>
      <xdr:row>6</xdr:row>
      <xdr:rowOff>160461</xdr:rowOff>
    </xdr:to>
    <mc:AlternateContent xmlns:mc="http://schemas.openxmlformats.org/markup-compatibility/2006" xmlns:a14="http://schemas.microsoft.com/office/drawing/2010/main">
      <mc:Choice Requires="a14">
        <xdr:sp macro="" textlink="">
          <xdr:nvSpPr>
            <xdr:cNvPr id="25" name="CuadroTexto 24">
              <a:extLst>
                <a:ext uri="{FF2B5EF4-FFF2-40B4-BE49-F238E27FC236}">
                  <a16:creationId xmlns:a16="http://schemas.microsoft.com/office/drawing/2014/main" id="{00000000-0008-0000-0400-000019000000}"/>
                </a:ext>
              </a:extLst>
            </xdr:cNvPr>
            <xdr:cNvSpPr txBox="1"/>
          </xdr:nvSpPr>
          <xdr:spPr>
            <a:xfrm>
              <a:off x="7051186" y="1042134"/>
              <a:ext cx="1476376" cy="2906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𝐶</m:t>
                        </m:r>
                      </m:e>
                      <m:sub>
                        <m:r>
                          <a:rPr lang="es-ES" sz="1100" b="0" i="1">
                            <a:latin typeface="Cambria Math" panose="02040503050406030204" pitchFamily="18" charset="0"/>
                          </a:rPr>
                          <m:t>𝑠</m:t>
                        </m:r>
                        <m:r>
                          <a:rPr lang="es-ES" sz="1100" b="0" i="1">
                            <a:latin typeface="Cambria Math" panose="02040503050406030204" pitchFamily="18" charset="0"/>
                          </a:rPr>
                          <m:t>,</m:t>
                        </m:r>
                        <m:r>
                          <a:rPr lang="es-ES" sz="1100" b="0" i="1">
                            <a:latin typeface="Cambria Math" panose="02040503050406030204" pitchFamily="18" charset="0"/>
                          </a:rPr>
                          <m:t>𝑜𝑢𝑡</m:t>
                        </m:r>
                      </m:sub>
                    </m:sSub>
                    <m:r>
                      <a:rPr lang="es-ES" sz="1100" b="0" i="1">
                        <a:latin typeface="Cambria Math" panose="02040503050406030204" pitchFamily="18" charset="0"/>
                      </a:rPr>
                      <m:t>, </m:t>
                    </m:r>
                    <m:sSub>
                      <m:sSubPr>
                        <m:ctrlPr>
                          <a:rPr lang="es-ES" sz="1100" b="0" i="1">
                            <a:latin typeface="Cambria Math" panose="02040503050406030204" pitchFamily="18" charset="0"/>
                          </a:rPr>
                        </m:ctrlPr>
                      </m:sSubPr>
                      <m:e>
                        <m:r>
                          <a:rPr lang="es-ES" sz="1100" b="0" i="1">
                            <a:latin typeface="Cambria Math" panose="02040503050406030204" pitchFamily="18" charset="0"/>
                          </a:rPr>
                          <m:t>𝐶</m:t>
                        </m:r>
                      </m:e>
                      <m:sub>
                        <m:r>
                          <a:rPr lang="es-ES" sz="1100" b="0" i="1">
                            <a:latin typeface="Cambria Math" panose="02040503050406030204" pitchFamily="18" charset="0"/>
                          </a:rPr>
                          <m:t>𝐴</m:t>
                        </m:r>
                        <m:r>
                          <a:rPr lang="es-ES" sz="1100" b="0" i="1">
                            <a:latin typeface="Cambria Math" panose="02040503050406030204" pitchFamily="18" charset="0"/>
                          </a:rPr>
                          <m:t>,</m:t>
                        </m:r>
                        <m:r>
                          <a:rPr lang="es-ES" sz="1100" b="0" i="1">
                            <a:latin typeface="Cambria Math" panose="02040503050406030204" pitchFamily="18" charset="0"/>
                          </a:rPr>
                          <m:t>𝑜𝑢𝑡</m:t>
                        </m:r>
                      </m:sub>
                    </m:sSub>
                  </m:oMath>
                </m:oMathPara>
              </a14:m>
              <a:endParaRPr lang="es-ES" sz="1100"/>
            </a:p>
          </xdr:txBody>
        </xdr:sp>
      </mc:Choice>
      <mc:Fallback xmlns="">
        <xdr:sp macro="" textlink="">
          <xdr:nvSpPr>
            <xdr:cNvPr id="25" name="CuadroTexto 24">
              <a:extLst>
                <a:ext uri="{FF2B5EF4-FFF2-40B4-BE49-F238E27FC236}">
                  <a16:creationId xmlns:a16="http://schemas.microsoft.com/office/drawing/2014/main" id="{00000000-0008-0000-0400-000019000000}"/>
                </a:ext>
              </a:extLst>
            </xdr:cNvPr>
            <xdr:cNvSpPr txBox="1"/>
          </xdr:nvSpPr>
          <xdr:spPr>
            <a:xfrm>
              <a:off x="7051186" y="1042134"/>
              <a:ext cx="1476376" cy="2906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s-ES" sz="1100" b="0" i="0">
                  <a:latin typeface="Cambria Math" panose="02040503050406030204" pitchFamily="18" charset="0"/>
                </a:rPr>
                <a:t>𝐶_(𝑠,𝑜𝑢𝑡), 𝐶_(𝐴,𝑜𝑢𝑡)</a:t>
              </a:r>
              <a:endParaRPr lang="es-ES" sz="1100"/>
            </a:p>
          </xdr:txBody>
        </xdr:sp>
      </mc:Fallback>
    </mc:AlternateContent>
    <xdr:clientData/>
  </xdr:twoCellAnchor>
  <xdr:oneCellAnchor>
    <xdr:from>
      <xdr:col>3</xdr:col>
      <xdr:colOff>238125</xdr:colOff>
      <xdr:row>7</xdr:row>
      <xdr:rowOff>123825</xdr:rowOff>
    </xdr:from>
    <xdr:ext cx="1276350" cy="274947"/>
    <mc:AlternateContent xmlns:mc="http://schemas.openxmlformats.org/markup-compatibility/2006" xmlns:a14="http://schemas.microsoft.com/office/drawing/2010/main">
      <mc:Choice Requires="a14">
        <xdr:sp macro="" textlink="">
          <xdr:nvSpPr>
            <xdr:cNvPr id="26" name="CuadroTexto 25">
              <a:extLst>
                <a:ext uri="{FF2B5EF4-FFF2-40B4-BE49-F238E27FC236}">
                  <a16:creationId xmlns:a16="http://schemas.microsoft.com/office/drawing/2014/main" id="{00000000-0008-0000-0400-00001A000000}"/>
                </a:ext>
              </a:extLst>
            </xdr:cNvPr>
            <xdr:cNvSpPr txBox="1"/>
          </xdr:nvSpPr>
          <xdr:spPr>
            <a:xfrm>
              <a:off x="4939567" y="1491517"/>
              <a:ext cx="1276350"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ES" sz="1100" b="0" i="1">
                            <a:latin typeface="Cambria Math" panose="02040503050406030204" pitchFamily="18" charset="0"/>
                          </a:rPr>
                          <m:t>h</m:t>
                        </m:r>
                        <m:r>
                          <a:rPr lang="es-ES" sz="1100" b="0" i="1">
                            <a:latin typeface="Cambria Math" panose="02040503050406030204" pitchFamily="18" charset="0"/>
                          </a:rPr>
                          <m:t>,</m:t>
                        </m:r>
                        <m:r>
                          <a:rPr lang="es-ES" sz="1100" b="0" i="1">
                            <a:latin typeface="Cambria Math" panose="02040503050406030204" pitchFamily="18" charset="0"/>
                          </a:rPr>
                          <m:t>𝑝𝑒𝑟</m:t>
                        </m:r>
                      </m:sub>
                    </m:sSub>
                  </m:oMath>
                </m:oMathPara>
              </a14:m>
              <a:endParaRPr lang="es-ES" sz="1100"/>
            </a:p>
          </xdr:txBody>
        </xdr:sp>
      </mc:Choice>
      <mc:Fallback xmlns="">
        <xdr:sp macro="" textlink="">
          <xdr:nvSpPr>
            <xdr:cNvPr id="26" name="CuadroTexto 25">
              <a:extLst>
                <a:ext uri="{FF2B5EF4-FFF2-40B4-BE49-F238E27FC236}">
                  <a16:creationId xmlns:a16="http://schemas.microsoft.com/office/drawing/2014/main" id="{00000000-0008-0000-0400-00001A000000}"/>
                </a:ext>
              </a:extLst>
            </xdr:cNvPr>
            <xdr:cNvSpPr txBox="1"/>
          </xdr:nvSpPr>
          <xdr:spPr>
            <a:xfrm>
              <a:off x="4939567" y="1491517"/>
              <a:ext cx="1276350"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𝐹_(ℎ,𝑝𝑒𝑟)</a:t>
              </a:r>
              <a:endParaRPr lang="es-ES" sz="1100"/>
            </a:p>
          </xdr:txBody>
        </xdr:sp>
      </mc:Fallback>
    </mc:AlternateContent>
    <xdr:clientData/>
  </xdr:oneCellAnchor>
  <xdr:twoCellAnchor>
    <xdr:from>
      <xdr:col>3</xdr:col>
      <xdr:colOff>315975</xdr:colOff>
      <xdr:row>9</xdr:row>
      <xdr:rowOff>84260</xdr:rowOff>
    </xdr:from>
    <xdr:to>
      <xdr:col>4</xdr:col>
      <xdr:colOff>163711</xdr:colOff>
      <xdr:row>11</xdr:row>
      <xdr:rowOff>29767</xdr:rowOff>
    </xdr:to>
    <mc:AlternateContent xmlns:mc="http://schemas.openxmlformats.org/markup-compatibility/2006" xmlns:a14="http://schemas.microsoft.com/office/drawing/2010/main">
      <mc:Choice Requires="a14">
        <xdr:sp macro="" textlink="">
          <xdr:nvSpPr>
            <xdr:cNvPr id="27" name="CuadroTexto 26">
              <a:extLst>
                <a:ext uri="{FF2B5EF4-FFF2-40B4-BE49-F238E27FC236}">
                  <a16:creationId xmlns:a16="http://schemas.microsoft.com/office/drawing/2014/main" id="{00000000-0008-0000-0400-00001B000000}"/>
                </a:ext>
              </a:extLst>
            </xdr:cNvPr>
            <xdr:cNvSpPr txBox="1"/>
          </xdr:nvSpPr>
          <xdr:spPr>
            <a:xfrm>
              <a:off x="5018944" y="1825549"/>
              <a:ext cx="1142540" cy="332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𝐶</m:t>
                        </m:r>
                      </m:e>
                      <m:sub>
                        <m:r>
                          <a:rPr lang="es-ES" sz="1100" b="0" i="1">
                            <a:latin typeface="Cambria Math" panose="02040503050406030204" pitchFamily="18" charset="0"/>
                          </a:rPr>
                          <m:t>𝑠</m:t>
                        </m:r>
                        <m:r>
                          <a:rPr lang="es-ES" sz="1100" b="0" i="1">
                            <a:latin typeface="Cambria Math" panose="02040503050406030204" pitchFamily="18" charset="0"/>
                          </a:rPr>
                          <m:t>,</m:t>
                        </m:r>
                        <m:r>
                          <a:rPr lang="es-ES" sz="1100" b="0" i="1">
                            <a:latin typeface="Cambria Math" panose="02040503050406030204" pitchFamily="18" charset="0"/>
                          </a:rPr>
                          <m:t>𝑝𝑒𝑟</m:t>
                        </m:r>
                      </m:sub>
                    </m:sSub>
                    <m:r>
                      <a:rPr lang="es-ES" sz="1100" b="0" i="1">
                        <a:latin typeface="Cambria Math" panose="02040503050406030204" pitchFamily="18" charset="0"/>
                      </a:rPr>
                      <m:t>, </m:t>
                    </m:r>
                    <m:sSub>
                      <m:sSubPr>
                        <m:ctrlPr>
                          <a:rPr lang="es-ES" sz="1100" b="0" i="1">
                            <a:latin typeface="Cambria Math" panose="02040503050406030204" pitchFamily="18" charset="0"/>
                          </a:rPr>
                        </m:ctrlPr>
                      </m:sSubPr>
                      <m:e>
                        <m:r>
                          <a:rPr lang="es-ES" sz="1100" b="0" i="1">
                            <a:latin typeface="Cambria Math" panose="02040503050406030204" pitchFamily="18" charset="0"/>
                          </a:rPr>
                          <m:t>𝐶</m:t>
                        </m:r>
                      </m:e>
                      <m:sub>
                        <m:r>
                          <a:rPr lang="es-ES" sz="1100" b="0" i="1">
                            <a:latin typeface="Cambria Math" panose="02040503050406030204" pitchFamily="18" charset="0"/>
                          </a:rPr>
                          <m:t>𝐴</m:t>
                        </m:r>
                        <m:r>
                          <a:rPr lang="es-ES" sz="1100" b="0" i="1">
                            <a:latin typeface="Cambria Math" panose="02040503050406030204" pitchFamily="18" charset="0"/>
                          </a:rPr>
                          <m:t>, </m:t>
                        </m:r>
                        <m:r>
                          <a:rPr lang="es-ES" sz="1100" b="0" i="1">
                            <a:latin typeface="Cambria Math" panose="02040503050406030204" pitchFamily="18" charset="0"/>
                          </a:rPr>
                          <m:t>𝑝𝑒𝑟</m:t>
                        </m:r>
                      </m:sub>
                    </m:sSub>
                  </m:oMath>
                </m:oMathPara>
              </a14:m>
              <a:endParaRPr lang="es-ES" sz="1100"/>
            </a:p>
          </xdr:txBody>
        </xdr:sp>
      </mc:Choice>
      <mc:Fallback xmlns="">
        <xdr:sp macro="" textlink="">
          <xdr:nvSpPr>
            <xdr:cNvPr id="27" name="CuadroTexto 26">
              <a:extLst>
                <a:ext uri="{FF2B5EF4-FFF2-40B4-BE49-F238E27FC236}">
                  <a16:creationId xmlns:a16="http://schemas.microsoft.com/office/drawing/2014/main" id="{00000000-0008-0000-0400-00001B000000}"/>
                </a:ext>
              </a:extLst>
            </xdr:cNvPr>
            <xdr:cNvSpPr txBox="1"/>
          </xdr:nvSpPr>
          <xdr:spPr>
            <a:xfrm>
              <a:off x="5018944" y="1825549"/>
              <a:ext cx="1142540" cy="332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s-ES" sz="1100" b="0" i="0">
                  <a:latin typeface="Cambria Math" panose="02040503050406030204" pitchFamily="18" charset="0"/>
                </a:rPr>
                <a:t>𝐶_(𝑠,𝑝𝑒𝑟), 𝐶_(𝐴, 𝑝𝑒𝑟)</a:t>
              </a:r>
              <a:endParaRPr lang="es-ES" sz="1100"/>
            </a:p>
          </xdr:txBody>
        </xdr:sp>
      </mc:Fallback>
    </mc:AlternateContent>
    <xdr:clientData/>
  </xdr:twoCellAnchor>
  <xdr:twoCellAnchor>
    <xdr:from>
      <xdr:col>4</xdr:col>
      <xdr:colOff>3233617</xdr:colOff>
      <xdr:row>1</xdr:row>
      <xdr:rowOff>158751</xdr:rowOff>
    </xdr:from>
    <xdr:to>
      <xdr:col>5</xdr:col>
      <xdr:colOff>3150576</xdr:colOff>
      <xdr:row>10</xdr:row>
      <xdr:rowOff>48846</xdr:rowOff>
    </xdr:to>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000000-0008-0000-0400-000002000000}"/>
                </a:ext>
              </a:extLst>
            </xdr:cNvPr>
            <xdr:cNvSpPr txBox="1"/>
          </xdr:nvSpPr>
          <xdr:spPr>
            <a:xfrm>
              <a:off x="8948617" y="354136"/>
              <a:ext cx="3189651" cy="16485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100" i="1">
                  <a:latin typeface="Cambria Math" panose="02040503050406030204" pitchFamily="18" charset="0"/>
                </a:rPr>
                <a:t>Ecuación</a:t>
              </a:r>
              <a:r>
                <a:rPr lang="es-ES" sz="1100" i="1" baseline="0">
                  <a:latin typeface="Cambria Math" panose="02040503050406030204" pitchFamily="18" charset="0"/>
                </a:rPr>
                <a:t> de Diseño [6]</a:t>
              </a:r>
              <a:endParaRPr lang="es-ES" sz="1100" i="1">
                <a:latin typeface="Cambria Math" panose="02040503050406030204" pitchFamily="18" charset="0"/>
              </a:endParaRPr>
            </a:p>
            <a:p>
              <a:endParaRPr lang="es-ES" sz="1100" i="1">
                <a:latin typeface="Cambria Math" panose="02040503050406030204" pitchFamily="18" charset="0"/>
              </a:endParaRPr>
            </a:p>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ES" sz="1100" b="0" i="1">
                            <a:latin typeface="Cambria Math" panose="02040503050406030204" pitchFamily="18" charset="0"/>
                          </a:rPr>
                          <m:t>𝑡</m:t>
                        </m:r>
                      </m:num>
                      <m:den>
                        <m:r>
                          <a:rPr lang="es-ES" sz="1100" b="0" i="1">
                            <a:latin typeface="Cambria Math" panose="02040503050406030204" pitchFamily="18" charset="0"/>
                          </a:rPr>
                          <m:t>𝑉</m:t>
                        </m:r>
                      </m:den>
                    </m:f>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ea typeface="Cambria Math" panose="02040503050406030204" pitchFamily="18" charset="0"/>
                          </a:rPr>
                          <m:t>𝜇</m:t>
                        </m:r>
                        <m:r>
                          <a:rPr lang="es-ES" sz="1100" b="0" i="1">
                            <a:latin typeface="Cambria Math" panose="02040503050406030204" pitchFamily="18" charset="0"/>
                            <a:ea typeface="Cambria Math" panose="02040503050406030204" pitchFamily="18" charset="0"/>
                          </a:rPr>
                          <m:t>∗</m:t>
                        </m:r>
                        <m:r>
                          <a:rPr lang="es-ES" sz="1100" b="0" i="1">
                            <a:latin typeface="Cambria Math" panose="02040503050406030204" pitchFamily="18" charset="0"/>
                            <a:ea typeface="Cambria Math" panose="02040503050406030204" pitchFamily="18" charset="0"/>
                          </a:rPr>
                          <m:t>𝐶</m:t>
                        </m:r>
                        <m:r>
                          <a:rPr lang="es-ES" sz="1100" b="0" i="1">
                            <a:latin typeface="Cambria Math" panose="02040503050406030204" pitchFamily="18" charset="0"/>
                            <a:ea typeface="Cambria Math" panose="02040503050406030204" pitchFamily="18" charset="0"/>
                          </a:rPr>
                          <m:t>∗</m:t>
                        </m:r>
                        <m:r>
                          <a:rPr lang="es-ES" sz="1100" b="0" i="1">
                            <a:latin typeface="Cambria Math" panose="02040503050406030204" pitchFamily="18" charset="0"/>
                            <a:ea typeface="Cambria Math" panose="02040503050406030204" pitchFamily="18" charset="0"/>
                          </a:rPr>
                          <m:t>𝛼</m:t>
                        </m:r>
                      </m:num>
                      <m:den>
                        <m:r>
                          <a:rPr lang="es-ES" sz="1100" b="0" i="1">
                            <a:latin typeface="Cambria Math" panose="02040503050406030204" pitchFamily="18" charset="0"/>
                          </a:rPr>
                          <m:t>2∗</m:t>
                        </m:r>
                        <m:r>
                          <a:rPr lang="es-ES" sz="1100" b="0" i="1">
                            <a:latin typeface="Cambria Math" panose="02040503050406030204" pitchFamily="18" charset="0"/>
                            <a:ea typeface="Cambria Math" panose="02040503050406030204" pitchFamily="18" charset="0"/>
                          </a:rPr>
                          <m:t>∆</m:t>
                        </m:r>
                        <m:r>
                          <a:rPr lang="es-ES" sz="1100" b="0" i="1">
                            <a:latin typeface="Cambria Math" panose="02040503050406030204" pitchFamily="18" charset="0"/>
                            <a:ea typeface="Cambria Math" panose="02040503050406030204" pitchFamily="18" charset="0"/>
                          </a:rPr>
                          <m:t>𝑃</m:t>
                        </m:r>
                        <m:r>
                          <a:rPr lang="es-ES" sz="1100" b="0" i="1">
                            <a:latin typeface="Cambria Math" panose="02040503050406030204" pitchFamily="18" charset="0"/>
                            <a:ea typeface="Cambria Math" panose="02040503050406030204" pitchFamily="18" charset="0"/>
                          </a:rPr>
                          <m:t>∗</m:t>
                        </m:r>
                        <m:sSup>
                          <m:sSupPr>
                            <m:ctrlPr>
                              <a:rPr lang="es-ES" sz="1100" b="0" i="1">
                                <a:latin typeface="Cambria Math" panose="02040503050406030204" pitchFamily="18" charset="0"/>
                                <a:ea typeface="Cambria Math" panose="02040503050406030204" pitchFamily="18" charset="0"/>
                              </a:rPr>
                            </m:ctrlPr>
                          </m:sSupPr>
                          <m:e>
                            <m:r>
                              <a:rPr lang="es-ES" sz="1100" b="0" i="1">
                                <a:latin typeface="Cambria Math" panose="02040503050406030204" pitchFamily="18" charset="0"/>
                                <a:ea typeface="Cambria Math" panose="02040503050406030204" pitchFamily="18" charset="0"/>
                              </a:rPr>
                              <m:t>𝐴</m:t>
                            </m:r>
                          </m:e>
                          <m:sup>
                            <m:r>
                              <a:rPr lang="es-ES" sz="1100" b="0" i="1">
                                <a:latin typeface="Cambria Math" panose="02040503050406030204" pitchFamily="18" charset="0"/>
                                <a:ea typeface="Cambria Math" panose="02040503050406030204" pitchFamily="18" charset="0"/>
                              </a:rPr>
                              <m:t>2</m:t>
                            </m:r>
                          </m:sup>
                        </m:sSup>
                      </m:den>
                    </m:f>
                    <m:r>
                      <a:rPr lang="es-ES" sz="1100" b="0" i="1">
                        <a:latin typeface="Cambria Math" panose="02040503050406030204" pitchFamily="18" charset="0"/>
                      </a:rPr>
                      <m:t>∗</m:t>
                    </m:r>
                    <m:r>
                      <a:rPr lang="es-ES" sz="1100" b="0" i="1">
                        <a:latin typeface="Cambria Math" panose="02040503050406030204" pitchFamily="18" charset="0"/>
                      </a:rPr>
                      <m:t>𝑉</m:t>
                    </m:r>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ea typeface="Cambria Math" panose="02040503050406030204" pitchFamily="18" charset="0"/>
                          </a:rPr>
                          <m:t>𝜇</m:t>
                        </m:r>
                        <m:r>
                          <a:rPr lang="es-ES" sz="1100" b="0" i="1">
                            <a:latin typeface="Cambria Math" panose="02040503050406030204" pitchFamily="18" charset="0"/>
                            <a:ea typeface="Cambria Math" panose="02040503050406030204" pitchFamily="18" charset="0"/>
                          </a:rPr>
                          <m:t>∗</m:t>
                        </m:r>
                        <m:sSub>
                          <m:sSubPr>
                            <m:ctrlPr>
                              <a:rPr lang="es-ES" sz="1100" b="0" i="1">
                                <a:latin typeface="Cambria Math" panose="02040503050406030204" pitchFamily="18" charset="0"/>
                                <a:ea typeface="Cambria Math" panose="02040503050406030204" pitchFamily="18" charset="0"/>
                              </a:rPr>
                            </m:ctrlPr>
                          </m:sSubPr>
                          <m:e>
                            <m:r>
                              <a:rPr lang="es-ES" sz="1100" b="0" i="1">
                                <a:latin typeface="Cambria Math" panose="02040503050406030204" pitchFamily="18" charset="0"/>
                                <a:ea typeface="Cambria Math" panose="02040503050406030204" pitchFamily="18" charset="0"/>
                              </a:rPr>
                              <m:t>𝑅</m:t>
                            </m:r>
                          </m:e>
                          <m:sub>
                            <m:r>
                              <a:rPr lang="es-ES" sz="1100" b="0" i="1">
                                <a:latin typeface="Cambria Math" panose="02040503050406030204" pitchFamily="18" charset="0"/>
                                <a:ea typeface="Cambria Math" panose="02040503050406030204" pitchFamily="18" charset="0"/>
                              </a:rPr>
                              <m:t>𝑚</m:t>
                            </m:r>
                          </m:sub>
                        </m:sSub>
                      </m:num>
                      <m:den>
                        <m:r>
                          <a:rPr lang="es-ES" sz="1100" b="0" i="1">
                            <a:latin typeface="Cambria Math" panose="02040503050406030204" pitchFamily="18" charset="0"/>
                          </a:rPr>
                          <m:t>𝐴</m:t>
                        </m:r>
                        <m:r>
                          <a:rPr lang="es-ES" sz="1100" b="0" i="1">
                            <a:latin typeface="Cambria Math" panose="02040503050406030204" pitchFamily="18" charset="0"/>
                          </a:rPr>
                          <m:t>∗∆</m:t>
                        </m:r>
                        <m:r>
                          <a:rPr lang="es-ES" sz="1100" b="0" i="1">
                            <a:latin typeface="Cambria Math" panose="02040503050406030204" pitchFamily="18" charset="0"/>
                            <a:ea typeface="Cambria Math" panose="02040503050406030204" pitchFamily="18" charset="0"/>
                          </a:rPr>
                          <m:t>𝑃</m:t>
                        </m:r>
                      </m:den>
                    </m:f>
                  </m:oMath>
                </m:oMathPara>
              </a14:m>
              <a:endParaRPr lang="es-ES" sz="1100" i="1">
                <a:latin typeface="Cambria Math" panose="02040503050406030204" pitchFamily="18" charset="0"/>
              </a:endParaRPr>
            </a:p>
            <a:p>
              <a:endParaRPr lang="es-ES" sz="1100" i="1">
                <a:latin typeface="Cambria Math" panose="02040503050406030204" pitchFamily="18" charset="0"/>
              </a:endParaRPr>
            </a:p>
            <a:p>
              <a:pPr/>
              <a14:m>
                <m:oMathPara xmlns:m="http://schemas.openxmlformats.org/officeDocument/2006/math">
                  <m:oMathParaPr>
                    <m:jc m:val="centerGroup"/>
                  </m:oMathParaPr>
                  <m:oMath xmlns:m="http://schemas.openxmlformats.org/officeDocument/2006/math">
                    <m:sSup>
                      <m:sSupPr>
                        <m:ctrlPr>
                          <a:rPr lang="es-ES" sz="1100" i="1">
                            <a:latin typeface="Cambria Math" panose="02040503050406030204" pitchFamily="18" charset="0"/>
                          </a:rPr>
                        </m:ctrlPr>
                      </m:sSupPr>
                      <m:e>
                        <m:r>
                          <a:rPr lang="es-ES" sz="1100" b="0" i="1">
                            <a:latin typeface="Cambria Math" panose="02040503050406030204" pitchFamily="18" charset="0"/>
                          </a:rPr>
                          <m:t>𝐴</m:t>
                        </m:r>
                      </m:e>
                      <m:sup>
                        <m:r>
                          <a:rPr lang="es-ES" sz="1100" b="0" i="1">
                            <a:latin typeface="Cambria Math" panose="02040503050406030204" pitchFamily="18" charset="0"/>
                          </a:rPr>
                          <m:t>2</m:t>
                        </m:r>
                      </m:sup>
                    </m:sSup>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rPr>
                          <m:t>𝑡</m:t>
                        </m:r>
                      </m:num>
                      <m:den>
                        <m:r>
                          <a:rPr lang="es-ES" sz="1100" b="0" i="1">
                            <a:latin typeface="Cambria Math" panose="02040503050406030204" pitchFamily="18" charset="0"/>
                          </a:rPr>
                          <m:t>𝑉</m:t>
                        </m:r>
                      </m:den>
                    </m:f>
                    <m:r>
                      <a:rPr lang="es-ES" sz="1100" b="0" i="1">
                        <a:latin typeface="Cambria Math" panose="02040503050406030204" pitchFamily="18" charset="0"/>
                      </a:rPr>
                      <m:t>−</m:t>
                    </m:r>
                    <m:r>
                      <a:rPr lang="es-ES" sz="1100" b="0" i="1">
                        <a:latin typeface="Cambria Math" panose="02040503050406030204" pitchFamily="18" charset="0"/>
                      </a:rPr>
                      <m:t>𝐴</m:t>
                    </m:r>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ea typeface="Cambria Math" panose="02040503050406030204" pitchFamily="18" charset="0"/>
                          </a:rPr>
                          <m:t>𝜇</m:t>
                        </m:r>
                        <m:r>
                          <a:rPr lang="es-ES" sz="1100" b="0" i="1">
                            <a:latin typeface="Cambria Math" panose="02040503050406030204" pitchFamily="18" charset="0"/>
                            <a:ea typeface="Cambria Math" panose="02040503050406030204" pitchFamily="18" charset="0"/>
                          </a:rPr>
                          <m:t>∗</m:t>
                        </m:r>
                        <m:sSub>
                          <m:sSubPr>
                            <m:ctrlPr>
                              <a:rPr lang="es-ES" sz="1100" b="0" i="1">
                                <a:latin typeface="Cambria Math" panose="02040503050406030204" pitchFamily="18" charset="0"/>
                                <a:ea typeface="Cambria Math" panose="02040503050406030204" pitchFamily="18" charset="0"/>
                              </a:rPr>
                            </m:ctrlPr>
                          </m:sSubPr>
                          <m:e>
                            <m:r>
                              <a:rPr lang="es-ES" sz="1100" b="0" i="1">
                                <a:latin typeface="Cambria Math" panose="02040503050406030204" pitchFamily="18" charset="0"/>
                                <a:ea typeface="Cambria Math" panose="02040503050406030204" pitchFamily="18" charset="0"/>
                              </a:rPr>
                              <m:t>𝑅</m:t>
                            </m:r>
                          </m:e>
                          <m:sub>
                            <m:r>
                              <a:rPr lang="es-ES" sz="1100" b="0" i="1">
                                <a:latin typeface="Cambria Math" panose="02040503050406030204" pitchFamily="18" charset="0"/>
                                <a:ea typeface="Cambria Math" panose="02040503050406030204" pitchFamily="18" charset="0"/>
                              </a:rPr>
                              <m:t>𝑚</m:t>
                            </m:r>
                          </m:sub>
                        </m:sSub>
                      </m:num>
                      <m:den>
                        <m:r>
                          <a:rPr lang="es-ES" sz="1100" b="0" i="1">
                            <a:latin typeface="Cambria Math" panose="02040503050406030204" pitchFamily="18" charset="0"/>
                            <a:ea typeface="Cambria Math" panose="02040503050406030204" pitchFamily="18" charset="0"/>
                          </a:rPr>
                          <m:t>∆</m:t>
                        </m:r>
                        <m:r>
                          <a:rPr lang="es-ES" sz="1100" b="0" i="1">
                            <a:latin typeface="Cambria Math" panose="02040503050406030204" pitchFamily="18" charset="0"/>
                            <a:ea typeface="Cambria Math" panose="02040503050406030204" pitchFamily="18" charset="0"/>
                          </a:rPr>
                          <m:t>𝑃</m:t>
                        </m:r>
                      </m:den>
                    </m:f>
                    <m:r>
                      <a:rPr lang="es-ES" sz="1100" b="0" i="1">
                        <a:latin typeface="Cambria Math" panose="02040503050406030204" pitchFamily="18" charset="0"/>
                      </a:rPr>
                      <m:t>−</m:t>
                    </m:r>
                    <m:f>
                      <m:fPr>
                        <m:ctrlPr>
                          <a:rPr lang="es-ES" sz="1100" b="0" i="1">
                            <a:latin typeface="Cambria Math" panose="02040503050406030204" pitchFamily="18" charset="0"/>
                          </a:rPr>
                        </m:ctrlPr>
                      </m:fPr>
                      <m:num>
                        <m:r>
                          <a:rPr lang="es-ES" sz="1100" b="0" i="1">
                            <a:latin typeface="Cambria Math" panose="02040503050406030204" pitchFamily="18" charset="0"/>
                            <a:ea typeface="Cambria Math" panose="02040503050406030204" pitchFamily="18" charset="0"/>
                          </a:rPr>
                          <m:t>𝜇</m:t>
                        </m:r>
                        <m:r>
                          <a:rPr lang="es-ES" sz="1100" b="0" i="1">
                            <a:latin typeface="Cambria Math" panose="02040503050406030204" pitchFamily="18" charset="0"/>
                            <a:ea typeface="Cambria Math" panose="02040503050406030204" pitchFamily="18" charset="0"/>
                          </a:rPr>
                          <m:t>∗</m:t>
                        </m:r>
                        <m:r>
                          <a:rPr lang="es-ES" sz="1100" b="0" i="1">
                            <a:latin typeface="Cambria Math" panose="02040503050406030204" pitchFamily="18" charset="0"/>
                            <a:ea typeface="Cambria Math" panose="02040503050406030204" pitchFamily="18" charset="0"/>
                          </a:rPr>
                          <m:t>𝐶</m:t>
                        </m:r>
                        <m:r>
                          <a:rPr lang="es-ES" sz="1100" b="0" i="1">
                            <a:latin typeface="Cambria Math" panose="02040503050406030204" pitchFamily="18" charset="0"/>
                            <a:ea typeface="Cambria Math" panose="02040503050406030204" pitchFamily="18" charset="0"/>
                          </a:rPr>
                          <m:t>∗</m:t>
                        </m:r>
                        <m:r>
                          <a:rPr lang="es-ES" sz="1100" b="0" i="1">
                            <a:latin typeface="Cambria Math" panose="02040503050406030204" pitchFamily="18" charset="0"/>
                            <a:ea typeface="Cambria Math" panose="02040503050406030204" pitchFamily="18" charset="0"/>
                          </a:rPr>
                          <m:t>𝛼</m:t>
                        </m:r>
                      </m:num>
                      <m:den>
                        <m:r>
                          <a:rPr lang="es-ES" sz="1100" b="0" i="1">
                            <a:latin typeface="Cambria Math" panose="02040503050406030204" pitchFamily="18" charset="0"/>
                            <a:ea typeface="Cambria Math" panose="02040503050406030204" pitchFamily="18" charset="0"/>
                          </a:rPr>
                          <m:t>∆</m:t>
                        </m:r>
                        <m:r>
                          <a:rPr lang="es-ES" sz="1100" b="0" i="1">
                            <a:latin typeface="Cambria Math" panose="02040503050406030204" pitchFamily="18" charset="0"/>
                            <a:ea typeface="Cambria Math" panose="02040503050406030204" pitchFamily="18" charset="0"/>
                          </a:rPr>
                          <m:t>𝑃</m:t>
                        </m:r>
                        <m:r>
                          <a:rPr lang="es-ES" sz="1100" b="0" i="1">
                            <a:latin typeface="Cambria Math" panose="02040503050406030204" pitchFamily="18" charset="0"/>
                            <a:ea typeface="Cambria Math" panose="02040503050406030204" pitchFamily="18" charset="0"/>
                          </a:rPr>
                          <m:t>∗2</m:t>
                        </m:r>
                      </m:den>
                    </m:f>
                    <m:r>
                      <a:rPr lang="es-ES" sz="1100" b="0" i="1">
                        <a:latin typeface="Cambria Math" panose="02040503050406030204" pitchFamily="18" charset="0"/>
                      </a:rPr>
                      <m:t>∗</m:t>
                    </m:r>
                    <m:r>
                      <a:rPr lang="es-ES" sz="1100" b="0" i="1">
                        <a:latin typeface="Cambria Math" panose="02040503050406030204" pitchFamily="18" charset="0"/>
                      </a:rPr>
                      <m:t>𝑉</m:t>
                    </m:r>
                    <m:r>
                      <a:rPr lang="es-ES" sz="1100" b="0" i="1">
                        <a:latin typeface="Cambria Math" panose="02040503050406030204" pitchFamily="18" charset="0"/>
                      </a:rPr>
                      <m:t>=0</m:t>
                    </m:r>
                  </m:oMath>
                </m:oMathPara>
              </a14:m>
              <a:endParaRPr lang="es-ES" sz="1100"/>
            </a:p>
          </xdr:txBody>
        </xdr:sp>
      </mc:Choice>
      <mc:Fallback xmlns="">
        <xdr:sp macro="" textlink="">
          <xdr:nvSpPr>
            <xdr:cNvPr id="2" name="CuadroTexto 1">
              <a:extLst>
                <a:ext uri="{FF2B5EF4-FFF2-40B4-BE49-F238E27FC236}">
                  <a16:creationId xmlns:a16="http://schemas.microsoft.com/office/drawing/2014/main" id="{00000000-0008-0000-0400-000002000000}"/>
                </a:ext>
              </a:extLst>
            </xdr:cNvPr>
            <xdr:cNvSpPr txBox="1"/>
          </xdr:nvSpPr>
          <xdr:spPr>
            <a:xfrm>
              <a:off x="8948617" y="354136"/>
              <a:ext cx="3189651" cy="16485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100" i="1">
                  <a:latin typeface="Cambria Math" panose="02040503050406030204" pitchFamily="18" charset="0"/>
                </a:rPr>
                <a:t>Ecuación</a:t>
              </a:r>
              <a:r>
                <a:rPr lang="es-ES" sz="1100" i="1" baseline="0">
                  <a:latin typeface="Cambria Math" panose="02040503050406030204" pitchFamily="18" charset="0"/>
                </a:rPr>
                <a:t> de Diseño [6]</a:t>
              </a:r>
              <a:endParaRPr lang="es-ES" sz="1100" i="1">
                <a:latin typeface="Cambria Math" panose="02040503050406030204" pitchFamily="18" charset="0"/>
              </a:endParaRPr>
            </a:p>
            <a:p>
              <a:endParaRPr lang="es-ES" sz="1100" i="1">
                <a:latin typeface="Cambria Math" panose="02040503050406030204" pitchFamily="18" charset="0"/>
              </a:endParaRPr>
            </a:p>
            <a:p>
              <a:pPr/>
              <a:r>
                <a:rPr lang="es-ES" sz="1100" b="0" i="0">
                  <a:latin typeface="Cambria Math" panose="02040503050406030204" pitchFamily="18" charset="0"/>
                </a:rPr>
                <a:t>𝑡/𝑉=(</a:t>
              </a:r>
              <a:r>
                <a:rPr lang="es-ES" sz="1100" b="0" i="0">
                  <a:latin typeface="Cambria Math" panose="02040503050406030204" pitchFamily="18" charset="0"/>
                  <a:ea typeface="Cambria Math" panose="02040503050406030204" pitchFamily="18" charset="0"/>
                </a:rPr>
                <a:t>𝜇∗𝐶∗𝛼)/(</a:t>
              </a:r>
              <a:r>
                <a:rPr lang="es-ES" sz="1100" b="0" i="0">
                  <a:latin typeface="Cambria Math" panose="02040503050406030204" pitchFamily="18" charset="0"/>
                </a:rPr>
                <a:t>2∗</a:t>
              </a:r>
              <a:r>
                <a:rPr lang="es-ES" sz="1100" b="0" i="0">
                  <a:latin typeface="Cambria Math" panose="02040503050406030204" pitchFamily="18" charset="0"/>
                  <a:ea typeface="Cambria Math" panose="02040503050406030204" pitchFamily="18" charset="0"/>
                </a:rPr>
                <a:t>∆𝑃∗𝐴^2 )</a:t>
              </a:r>
              <a:r>
                <a:rPr lang="es-ES" sz="1100" b="0" i="0">
                  <a:latin typeface="Cambria Math" panose="02040503050406030204" pitchFamily="18" charset="0"/>
                </a:rPr>
                <a:t>∗𝑉+(</a:t>
              </a:r>
              <a:r>
                <a:rPr lang="es-ES" sz="1100" b="0" i="0">
                  <a:latin typeface="Cambria Math" panose="02040503050406030204" pitchFamily="18" charset="0"/>
                  <a:ea typeface="Cambria Math" panose="02040503050406030204" pitchFamily="18" charset="0"/>
                </a:rPr>
                <a:t>𝜇∗𝑅_𝑚)/(</a:t>
              </a:r>
              <a:r>
                <a:rPr lang="es-ES" sz="1100" b="0" i="0">
                  <a:latin typeface="Cambria Math" panose="02040503050406030204" pitchFamily="18" charset="0"/>
                </a:rPr>
                <a:t>𝐴∗∆</a:t>
              </a:r>
              <a:r>
                <a:rPr lang="es-ES" sz="1100" b="0" i="0">
                  <a:latin typeface="Cambria Math" panose="02040503050406030204" pitchFamily="18" charset="0"/>
                  <a:ea typeface="Cambria Math" panose="02040503050406030204" pitchFamily="18" charset="0"/>
                </a:rPr>
                <a:t>𝑃)</a:t>
              </a:r>
              <a:endParaRPr lang="es-ES" sz="1100" i="1">
                <a:latin typeface="Cambria Math" panose="02040503050406030204" pitchFamily="18" charset="0"/>
              </a:endParaRPr>
            </a:p>
            <a:p>
              <a:endParaRPr lang="es-ES" sz="1100" i="1">
                <a:latin typeface="Cambria Math" panose="02040503050406030204" pitchFamily="18" charset="0"/>
              </a:endParaRPr>
            </a:p>
            <a:p>
              <a:pPr/>
              <a:r>
                <a:rPr lang="es-ES" sz="1100" b="0" i="0">
                  <a:latin typeface="Cambria Math" panose="02040503050406030204" pitchFamily="18" charset="0"/>
                </a:rPr>
                <a:t>𝐴^2∗𝑡/𝑉−𝐴∗(</a:t>
              </a:r>
              <a:r>
                <a:rPr lang="es-ES" sz="1100" b="0" i="0">
                  <a:latin typeface="Cambria Math" panose="02040503050406030204" pitchFamily="18" charset="0"/>
                  <a:ea typeface="Cambria Math" panose="02040503050406030204" pitchFamily="18" charset="0"/>
                </a:rPr>
                <a:t>𝜇∗𝑅_𝑚)/∆𝑃</a:t>
              </a:r>
              <a:r>
                <a:rPr lang="es-ES" sz="1100" b="0" i="0">
                  <a:latin typeface="Cambria Math" panose="02040503050406030204" pitchFamily="18" charset="0"/>
                </a:rPr>
                <a:t>−(</a:t>
              </a:r>
              <a:r>
                <a:rPr lang="es-ES" sz="1100" b="0" i="0">
                  <a:latin typeface="Cambria Math" panose="02040503050406030204" pitchFamily="18" charset="0"/>
                  <a:ea typeface="Cambria Math" panose="02040503050406030204" pitchFamily="18" charset="0"/>
                </a:rPr>
                <a:t>𝜇∗𝐶∗𝛼)/(∆𝑃∗2)</a:t>
              </a:r>
              <a:r>
                <a:rPr lang="es-ES" sz="1100" b="0" i="0">
                  <a:latin typeface="Cambria Math" panose="02040503050406030204" pitchFamily="18" charset="0"/>
                </a:rPr>
                <a:t>∗𝑉=0</a:t>
              </a:r>
              <a:endParaRPr lang="es-ES" sz="1100"/>
            </a:p>
          </xdr:txBody>
        </xdr:sp>
      </mc:Fallback>
    </mc:AlternateContent>
    <xdr:clientData/>
  </xdr:twoCellAnchor>
  <xdr:twoCellAnchor>
    <xdr:from>
      <xdr:col>0</xdr:col>
      <xdr:colOff>1502019</xdr:colOff>
      <xdr:row>4</xdr:row>
      <xdr:rowOff>109904</xdr:rowOff>
    </xdr:from>
    <xdr:to>
      <xdr:col>1</xdr:col>
      <xdr:colOff>787888</xdr:colOff>
      <xdr:row>4</xdr:row>
      <xdr:rowOff>121872</xdr:rowOff>
    </xdr:to>
    <xdr:cxnSp macro="">
      <xdr:nvCxnSpPr>
        <xdr:cNvPr id="15" name="Conector recto de flecha 14">
          <a:extLst>
            <a:ext uri="{FF2B5EF4-FFF2-40B4-BE49-F238E27FC236}">
              <a16:creationId xmlns:a16="http://schemas.microsoft.com/office/drawing/2014/main" id="{00000000-0008-0000-0400-00000F000000}"/>
            </a:ext>
          </a:extLst>
        </xdr:cNvPr>
        <xdr:cNvCxnSpPr/>
      </xdr:nvCxnSpPr>
      <xdr:spPr>
        <a:xfrm>
          <a:off x="1502019" y="891442"/>
          <a:ext cx="2228850" cy="11968"/>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1706564</xdr:colOff>
      <xdr:row>5</xdr:row>
      <xdr:rowOff>75941</xdr:rowOff>
    </xdr:from>
    <xdr:to>
      <xdr:col>1</xdr:col>
      <xdr:colOff>431602</xdr:colOff>
      <xdr:row>7</xdr:row>
      <xdr:rowOff>0</xdr:rowOff>
    </xdr:to>
    <mc:AlternateContent xmlns:mc="http://schemas.openxmlformats.org/markup-compatibility/2006" xmlns:a14="http://schemas.microsoft.com/office/drawing/2010/main">
      <mc:Choice Requires="a14">
        <xdr:sp macro="" textlink="">
          <xdr:nvSpPr>
            <xdr:cNvPr id="16" name="CuadroTexto 15">
              <a:extLst>
                <a:ext uri="{FF2B5EF4-FFF2-40B4-BE49-F238E27FC236}">
                  <a16:creationId xmlns:a16="http://schemas.microsoft.com/office/drawing/2014/main" id="{00000000-0008-0000-0400-000010000000}"/>
                </a:ext>
              </a:extLst>
            </xdr:cNvPr>
            <xdr:cNvSpPr txBox="1"/>
          </xdr:nvSpPr>
          <xdr:spPr>
            <a:xfrm>
              <a:off x="1706564" y="1043324"/>
              <a:ext cx="1671835" cy="3110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𝐶</m:t>
                        </m:r>
                      </m:e>
                      <m:sub>
                        <m:r>
                          <a:rPr lang="es-ES" sz="1100" b="0" i="1">
                            <a:latin typeface="Cambria Math" panose="02040503050406030204" pitchFamily="18" charset="0"/>
                          </a:rPr>
                          <m:t>𝑠</m:t>
                        </m:r>
                        <m:r>
                          <a:rPr lang="es-ES" sz="1100" b="0" i="1">
                            <a:latin typeface="Cambria Math" panose="02040503050406030204" pitchFamily="18" charset="0"/>
                          </a:rPr>
                          <m:t>,</m:t>
                        </m:r>
                        <m:r>
                          <a:rPr lang="es-ES" sz="1100" b="0" i="1">
                            <a:latin typeface="Cambria Math" panose="02040503050406030204" pitchFamily="18" charset="0"/>
                          </a:rPr>
                          <m:t>𝑖𝑛</m:t>
                        </m:r>
                      </m:sub>
                    </m:sSub>
                    <m:r>
                      <a:rPr lang="es-ES" sz="1100" b="0" i="1">
                        <a:latin typeface="Cambria Math" panose="02040503050406030204" pitchFamily="18" charset="0"/>
                      </a:rPr>
                      <m:t> </m:t>
                    </m:r>
                    <m:sSub>
                      <m:sSubPr>
                        <m:ctrlPr>
                          <a:rPr lang="es-ES" sz="1100" b="0" i="1">
                            <a:latin typeface="Cambria Math" panose="02040503050406030204" pitchFamily="18" charset="0"/>
                          </a:rPr>
                        </m:ctrlPr>
                      </m:sSubPr>
                      <m:e>
                        <m:r>
                          <a:rPr lang="es-ES" sz="1100" b="0" i="1">
                            <a:latin typeface="Cambria Math" panose="02040503050406030204" pitchFamily="18" charset="0"/>
                          </a:rPr>
                          <m:t>𝐶</m:t>
                        </m:r>
                      </m:e>
                      <m:sub>
                        <m:r>
                          <a:rPr lang="es-ES" sz="1100" b="0" i="1">
                            <a:latin typeface="Cambria Math" panose="02040503050406030204" pitchFamily="18" charset="0"/>
                          </a:rPr>
                          <m:t>𝐴</m:t>
                        </m:r>
                        <m:r>
                          <a:rPr lang="es-ES" sz="1100" b="0" i="1">
                            <a:latin typeface="Cambria Math" panose="02040503050406030204" pitchFamily="18" charset="0"/>
                          </a:rPr>
                          <m:t>,</m:t>
                        </m:r>
                        <m:r>
                          <a:rPr lang="es-ES" sz="1100" b="0" i="1">
                            <a:latin typeface="Cambria Math" panose="02040503050406030204" pitchFamily="18" charset="0"/>
                          </a:rPr>
                          <m:t>𝑖𝑛</m:t>
                        </m:r>
                      </m:sub>
                    </m:sSub>
                  </m:oMath>
                </m:oMathPara>
              </a14:m>
              <a:endParaRPr lang="es-ES" sz="1100"/>
            </a:p>
          </xdr:txBody>
        </xdr:sp>
      </mc:Choice>
      <mc:Fallback xmlns="">
        <xdr:sp macro="" textlink="">
          <xdr:nvSpPr>
            <xdr:cNvPr id="16" name="CuadroTexto 15">
              <a:extLst>
                <a:ext uri="{FF2B5EF4-FFF2-40B4-BE49-F238E27FC236}">
                  <a16:creationId xmlns:a16="http://schemas.microsoft.com/office/drawing/2014/main" id="{00000000-0008-0000-0400-000019000000}"/>
                </a:ext>
              </a:extLst>
            </xdr:cNvPr>
            <xdr:cNvSpPr txBox="1"/>
          </xdr:nvSpPr>
          <xdr:spPr>
            <a:xfrm>
              <a:off x="1706564" y="1043324"/>
              <a:ext cx="1671835" cy="3110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s-ES" sz="1100" b="0" i="0">
                  <a:latin typeface="Cambria Math" panose="02040503050406030204" pitchFamily="18" charset="0"/>
                </a:rPr>
                <a:t>𝐶_(𝑠,𝑖𝑛)  𝐶_(𝐴,𝑖𝑛)</a:t>
              </a:r>
              <a:endParaRPr lang="es-ES" sz="1100"/>
            </a:p>
          </xdr:txBody>
        </xdr:sp>
      </mc:Fallback>
    </mc:AlternateContent>
    <xdr:clientData/>
  </xdr:twoCellAnchor>
</xdr:wsDr>
</file>

<file path=xl/drawings/drawing9.xml><?xml version="1.0" encoding="utf-8"?>
<xdr:wsDr xmlns:xdr="http://schemas.openxmlformats.org/drawingml/2006/spreadsheetDrawing" xmlns:a="http://schemas.openxmlformats.org/drawingml/2006/main">
  <xdr:oneCellAnchor>
    <xdr:from>
      <xdr:col>3</xdr:col>
      <xdr:colOff>395287</xdr:colOff>
      <xdr:row>9</xdr:row>
      <xdr:rowOff>104775</xdr:rowOff>
    </xdr:from>
    <xdr:ext cx="65" cy="172227"/>
    <xdr:sp macro="" textlink="">
      <xdr:nvSpPr>
        <xdr:cNvPr id="2" name="CuadroTexto 1">
          <a:extLst>
            <a:ext uri="{FF2B5EF4-FFF2-40B4-BE49-F238E27FC236}">
              <a16:creationId xmlns:a16="http://schemas.microsoft.com/office/drawing/2014/main" id="{00000000-0008-0000-0500-000002000000}"/>
            </a:ext>
          </a:extLst>
        </xdr:cNvPr>
        <xdr:cNvSpPr txBox="1"/>
      </xdr:nvSpPr>
      <xdr:spPr>
        <a:xfrm>
          <a:off x="2681287" y="1819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ES" sz="1100"/>
        </a:p>
      </xdr:txBody>
    </xdr:sp>
    <xdr:clientData/>
  </xdr:oneCellAnchor>
  <xdr:twoCellAnchor>
    <xdr:from>
      <xdr:col>3</xdr:col>
      <xdr:colOff>733425</xdr:colOff>
      <xdr:row>4</xdr:row>
      <xdr:rowOff>114300</xdr:rowOff>
    </xdr:from>
    <xdr:to>
      <xdr:col>4</xdr:col>
      <xdr:colOff>542925</xdr:colOff>
      <xdr:row>10</xdr:row>
      <xdr:rowOff>38100</xdr:rowOff>
    </xdr:to>
    <xdr:sp macro="" textlink="">
      <xdr:nvSpPr>
        <xdr:cNvPr id="12" name="Rectángulo redondeado 11">
          <a:extLst>
            <a:ext uri="{FF2B5EF4-FFF2-40B4-BE49-F238E27FC236}">
              <a16:creationId xmlns:a16="http://schemas.microsoft.com/office/drawing/2014/main" id="{00000000-0008-0000-0500-00000C000000}"/>
            </a:ext>
          </a:extLst>
        </xdr:cNvPr>
        <xdr:cNvSpPr/>
      </xdr:nvSpPr>
      <xdr:spPr>
        <a:xfrm>
          <a:off x="4267200" y="876300"/>
          <a:ext cx="1419225" cy="10668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ES" sz="1100"/>
        </a:p>
      </xdr:txBody>
    </xdr:sp>
    <xdr:clientData/>
  </xdr:twoCellAnchor>
  <xdr:twoCellAnchor>
    <xdr:from>
      <xdr:col>3</xdr:col>
      <xdr:colOff>819150</xdr:colOff>
      <xdr:row>6</xdr:row>
      <xdr:rowOff>42183</xdr:rowOff>
    </xdr:from>
    <xdr:to>
      <xdr:col>4</xdr:col>
      <xdr:colOff>517071</xdr:colOff>
      <xdr:row>8</xdr:row>
      <xdr:rowOff>61233</xdr:rowOff>
    </xdr:to>
    <xdr:sp macro="" textlink="">
      <xdr:nvSpPr>
        <xdr:cNvPr id="13" name="CuadroTexto 12">
          <a:extLst>
            <a:ext uri="{FF2B5EF4-FFF2-40B4-BE49-F238E27FC236}">
              <a16:creationId xmlns:a16="http://schemas.microsoft.com/office/drawing/2014/main" id="{00000000-0008-0000-0500-00000D000000}"/>
            </a:ext>
          </a:extLst>
        </xdr:cNvPr>
        <xdr:cNvSpPr txBox="1"/>
      </xdr:nvSpPr>
      <xdr:spPr>
        <a:xfrm>
          <a:off x="5445579" y="1185183"/>
          <a:ext cx="949778" cy="400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600"/>
            <a:t>Cocción</a:t>
          </a:r>
        </a:p>
      </xdr:txBody>
    </xdr:sp>
    <xdr:clientData/>
  </xdr:twoCellAnchor>
  <xdr:twoCellAnchor>
    <xdr:from>
      <xdr:col>2</xdr:col>
      <xdr:colOff>676275</xdr:colOff>
      <xdr:row>7</xdr:row>
      <xdr:rowOff>152400</xdr:rowOff>
    </xdr:from>
    <xdr:to>
      <xdr:col>3</xdr:col>
      <xdr:colOff>742950</xdr:colOff>
      <xdr:row>7</xdr:row>
      <xdr:rowOff>152400</xdr:rowOff>
    </xdr:to>
    <xdr:cxnSp macro="">
      <xdr:nvCxnSpPr>
        <xdr:cNvPr id="15" name="Conector recto de flecha 14">
          <a:extLst>
            <a:ext uri="{FF2B5EF4-FFF2-40B4-BE49-F238E27FC236}">
              <a16:creationId xmlns:a16="http://schemas.microsoft.com/office/drawing/2014/main" id="{00000000-0008-0000-0500-00000F000000}"/>
            </a:ext>
          </a:extLst>
        </xdr:cNvPr>
        <xdr:cNvCxnSpPr/>
      </xdr:nvCxnSpPr>
      <xdr:spPr>
        <a:xfrm>
          <a:off x="3067050" y="1485900"/>
          <a:ext cx="1209675" cy="0"/>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2</xdr:col>
      <xdr:colOff>1076325</xdr:colOff>
      <xdr:row>6</xdr:row>
      <xdr:rowOff>0</xdr:rowOff>
    </xdr:from>
    <xdr:ext cx="714374" cy="264560"/>
    <xdr:sp macro="" textlink="">
      <xdr:nvSpPr>
        <xdr:cNvPr id="17" name="CuadroTexto 16">
          <a:extLst>
            <a:ext uri="{FF2B5EF4-FFF2-40B4-BE49-F238E27FC236}">
              <a16:creationId xmlns:a16="http://schemas.microsoft.com/office/drawing/2014/main" id="{00000000-0008-0000-0500-000011000000}"/>
            </a:ext>
          </a:extLst>
        </xdr:cNvPr>
        <xdr:cNvSpPr txBox="1"/>
      </xdr:nvSpPr>
      <xdr:spPr>
        <a:xfrm>
          <a:off x="4546146" y="1143000"/>
          <a:ext cx="7143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ES" sz="1100" b="0"/>
            <a:t>V</a:t>
          </a:r>
          <a:r>
            <a:rPr lang="es-ES" sz="800" b="0"/>
            <a:t>h,in</a:t>
          </a:r>
          <a:endParaRPr lang="es-ES" sz="400" b="0"/>
        </a:p>
      </xdr:txBody>
    </xdr:sp>
    <xdr:clientData/>
  </xdr:oneCellAnchor>
  <xdr:twoCellAnchor>
    <xdr:from>
      <xdr:col>3</xdr:col>
      <xdr:colOff>1181100</xdr:colOff>
      <xdr:row>1</xdr:row>
      <xdr:rowOff>47625</xdr:rowOff>
    </xdr:from>
    <xdr:to>
      <xdr:col>3</xdr:col>
      <xdr:colOff>1190625</xdr:colOff>
      <xdr:row>4</xdr:row>
      <xdr:rowOff>114300</xdr:rowOff>
    </xdr:to>
    <xdr:cxnSp macro="">
      <xdr:nvCxnSpPr>
        <xdr:cNvPr id="18" name="Conector recto de flecha 17">
          <a:extLst>
            <a:ext uri="{FF2B5EF4-FFF2-40B4-BE49-F238E27FC236}">
              <a16:creationId xmlns:a16="http://schemas.microsoft.com/office/drawing/2014/main" id="{00000000-0008-0000-0500-000012000000}"/>
            </a:ext>
          </a:extLst>
        </xdr:cNvPr>
        <xdr:cNvCxnSpPr/>
      </xdr:nvCxnSpPr>
      <xdr:spPr>
        <a:xfrm>
          <a:off x="4714875" y="238125"/>
          <a:ext cx="9525" cy="638175"/>
        </a:xfrm>
        <a:prstGeom prst="straightConnector1">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38100</xdr:colOff>
      <xdr:row>1</xdr:row>
      <xdr:rowOff>123825</xdr:rowOff>
    </xdr:from>
    <xdr:to>
      <xdr:col>4</xdr:col>
      <xdr:colOff>38100</xdr:colOff>
      <xdr:row>4</xdr:row>
      <xdr:rowOff>95251</xdr:rowOff>
    </xdr:to>
    <xdr:cxnSp macro="">
      <xdr:nvCxnSpPr>
        <xdr:cNvPr id="22" name="Conector recto de flecha 21">
          <a:extLst>
            <a:ext uri="{FF2B5EF4-FFF2-40B4-BE49-F238E27FC236}">
              <a16:creationId xmlns:a16="http://schemas.microsoft.com/office/drawing/2014/main" id="{00000000-0008-0000-0500-000016000000}"/>
            </a:ext>
          </a:extLst>
        </xdr:cNvPr>
        <xdr:cNvCxnSpPr/>
      </xdr:nvCxnSpPr>
      <xdr:spPr>
        <a:xfrm flipV="1">
          <a:off x="5181600" y="314325"/>
          <a:ext cx="0" cy="54292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171450</xdr:colOff>
      <xdr:row>2</xdr:row>
      <xdr:rowOff>19050</xdr:rowOff>
    </xdr:from>
    <xdr:ext cx="714374" cy="274947"/>
    <mc:AlternateContent xmlns:mc="http://schemas.openxmlformats.org/markup-compatibility/2006" xmlns:a14="http://schemas.microsoft.com/office/drawing/2010/main">
      <mc:Choice Requires="a14">
        <xdr:sp macro="" textlink="">
          <xdr:nvSpPr>
            <xdr:cNvPr id="30" name="CuadroTexto 29">
              <a:extLst>
                <a:ext uri="{FF2B5EF4-FFF2-40B4-BE49-F238E27FC236}">
                  <a16:creationId xmlns:a16="http://schemas.microsoft.com/office/drawing/2014/main" id="{00000000-0008-0000-0500-00001E000000}"/>
                </a:ext>
              </a:extLst>
            </xdr:cNvPr>
            <xdr:cNvSpPr txBox="1"/>
          </xdr:nvSpPr>
          <xdr:spPr>
            <a:xfrm>
              <a:off x="5314950" y="40005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s-ES" sz="1100" i="1">
                            <a:latin typeface="Cambria Math" panose="02040503050406030204" pitchFamily="18" charset="0"/>
                          </a:rPr>
                        </m:ctrlPr>
                      </m:sSubPr>
                      <m:e>
                        <m:r>
                          <a:rPr lang="es-ES" sz="1100" b="0" i="1">
                            <a:latin typeface="Cambria Math" panose="02040503050406030204" pitchFamily="18" charset="0"/>
                          </a:rPr>
                          <m:t>𝐹</m:t>
                        </m:r>
                      </m:e>
                      <m:sub>
                        <m:r>
                          <a:rPr lang="es-ES" sz="1100" b="0" i="1">
                            <a:latin typeface="Cambria Math" panose="02040503050406030204" pitchFamily="18" charset="0"/>
                          </a:rPr>
                          <m:t>𝑎</m:t>
                        </m:r>
                        <m:r>
                          <a:rPr lang="es-ES" sz="1100" b="0" i="1">
                            <a:latin typeface="Cambria Math" panose="02040503050406030204" pitchFamily="18" charset="0"/>
                          </a:rPr>
                          <m:t>,</m:t>
                        </m:r>
                        <m:r>
                          <a:rPr lang="es-ES" sz="1100" b="0" i="1">
                            <a:latin typeface="Cambria Math" panose="02040503050406030204" pitchFamily="18" charset="0"/>
                          </a:rPr>
                          <m:t>𝑝𝑒𝑟</m:t>
                        </m:r>
                      </m:sub>
                    </m:sSub>
                  </m:oMath>
                </m:oMathPara>
              </a14:m>
              <a:endParaRPr lang="es-ES" sz="1100"/>
            </a:p>
          </xdr:txBody>
        </xdr:sp>
      </mc:Choice>
      <mc:Fallback xmlns="">
        <xdr:sp macro="" textlink="">
          <xdr:nvSpPr>
            <xdr:cNvPr id="30" name="CuadroTexto 29">
              <a:extLst>
                <a:ext uri="{FF2B5EF4-FFF2-40B4-BE49-F238E27FC236}">
                  <a16:creationId xmlns:a16="http://schemas.microsoft.com/office/drawing/2014/main" id="{00000000-0008-0000-0500-00001E000000}"/>
                </a:ext>
              </a:extLst>
            </xdr:cNvPr>
            <xdr:cNvSpPr txBox="1"/>
          </xdr:nvSpPr>
          <xdr:spPr>
            <a:xfrm>
              <a:off x="5314950" y="400050"/>
              <a:ext cx="714374" cy="2749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s-ES" sz="1100" b="0" i="0">
                  <a:latin typeface="Cambria Math" panose="02040503050406030204" pitchFamily="18" charset="0"/>
                </a:rPr>
                <a:t>𝐹_(𝑎,𝑝𝑒𝑟)</a:t>
              </a:r>
              <a:endParaRPr lang="es-ES" sz="1100"/>
            </a:p>
          </xdr:txBody>
        </xdr:sp>
      </mc:Fallback>
    </mc:AlternateContent>
    <xdr:clientData/>
  </xdr:oneCellAnchor>
  <xdr:oneCellAnchor>
    <xdr:from>
      <xdr:col>3</xdr:col>
      <xdr:colOff>523875</xdr:colOff>
      <xdr:row>1</xdr:row>
      <xdr:rowOff>76200</xdr:rowOff>
    </xdr:from>
    <xdr:ext cx="714374" cy="264560"/>
    <mc:AlternateContent xmlns:mc="http://schemas.openxmlformats.org/markup-compatibility/2006" xmlns:a14="http://schemas.microsoft.com/office/drawing/2010/main">
      <mc:Choice Requires="a14">
        <xdr:sp macro="" textlink="">
          <xdr:nvSpPr>
            <xdr:cNvPr id="31" name="CuadroTexto 30">
              <a:extLst>
                <a:ext uri="{FF2B5EF4-FFF2-40B4-BE49-F238E27FC236}">
                  <a16:creationId xmlns:a16="http://schemas.microsoft.com/office/drawing/2014/main" id="{00000000-0008-0000-0500-00001F000000}"/>
                </a:ext>
              </a:extLst>
            </xdr:cNvPr>
            <xdr:cNvSpPr txBox="1"/>
          </xdr:nvSpPr>
          <xdr:spPr>
            <a:xfrm>
              <a:off x="5150304" y="266700"/>
              <a:ext cx="7143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ES" sz="1100" b="0"/>
                <a:t>M</a:t>
              </a:r>
              <a14:m>
                <m:oMath xmlns:m="http://schemas.openxmlformats.org/officeDocument/2006/math">
                  <m:r>
                    <a:rPr lang="es-ES" sz="800" b="0" i="1">
                      <a:latin typeface="Cambria Math" panose="02040503050406030204" pitchFamily="18" charset="0"/>
                    </a:rPr>
                    <m:t>𝑙𝑢𝑝𝑢𝑙𝑜</m:t>
                  </m:r>
                </m:oMath>
              </a14:m>
              <a:endParaRPr lang="es-ES" sz="800" b="0"/>
            </a:p>
          </xdr:txBody>
        </xdr:sp>
      </mc:Choice>
      <mc:Fallback xmlns="">
        <xdr:sp macro="" textlink="">
          <xdr:nvSpPr>
            <xdr:cNvPr id="31" name="CuadroTexto 30">
              <a:extLst>
                <a:ext uri="{FF2B5EF4-FFF2-40B4-BE49-F238E27FC236}">
                  <a16:creationId xmlns:a16="http://schemas.microsoft.com/office/drawing/2014/main" id="{00000000-0008-0000-0500-00001F000000}"/>
                </a:ext>
              </a:extLst>
            </xdr:cNvPr>
            <xdr:cNvSpPr txBox="1"/>
          </xdr:nvSpPr>
          <xdr:spPr>
            <a:xfrm>
              <a:off x="5150304" y="266700"/>
              <a:ext cx="7143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ES" sz="1100" b="0"/>
                <a:t>M</a:t>
              </a:r>
              <a:r>
                <a:rPr lang="es-ES" sz="800" b="0" i="0">
                  <a:latin typeface="Cambria Math" panose="02040503050406030204" pitchFamily="18" charset="0"/>
                </a:rPr>
                <a:t>𝑙𝑢𝑝𝑢𝑙𝑜</a:t>
              </a:r>
              <a:endParaRPr lang="es-ES" sz="800" b="0"/>
            </a:p>
          </xdr:txBody>
        </xdr:sp>
      </mc:Fallback>
    </mc:AlternateContent>
    <xdr:clientData/>
  </xdr:oneCellAnchor>
</xdr:wsDr>
</file>

<file path=xl/tables/table1.xml><?xml version="1.0" encoding="utf-8"?>
<table xmlns="http://schemas.openxmlformats.org/spreadsheetml/2006/main" id="112" name="Tabla38106" displayName="Tabla38106" ref="B20:F24" totalsRowShown="0" headerRowDxfId="859" headerRowBorderDxfId="858" tableBorderDxfId="857" totalsRowBorderDxfId="856">
  <autoFilter ref="B20:F24"/>
  <tableColumns count="5">
    <tableColumn id="1" name="Dimensiones del equipo" dataDxfId="855"/>
    <tableColumn id="6" name="Símbolo" dataDxfId="854"/>
    <tableColumn id="7" name="Magnitud" dataDxfId="853"/>
    <tableColumn id="8" name="Unidades" dataDxfId="852"/>
    <tableColumn id="9" name="Bibliografía" dataDxfId="851"/>
  </tableColumns>
  <tableStyleInfo name="TableStyleMedium1" showFirstColumn="0" showLastColumn="0" showRowStripes="1" showColumnStripes="0"/>
</table>
</file>

<file path=xl/tables/table10.xml><?xml version="1.0" encoding="utf-8"?>
<table xmlns="http://schemas.openxmlformats.org/spreadsheetml/2006/main" id="119" name="Tabla379120" displayName="Tabla379120" ref="I11:J17" totalsRowShown="0">
  <autoFilter ref="I11:J17"/>
  <tableColumns count="2">
    <tableColumn id="1" name="Datos" dataDxfId="776"/>
    <tableColumn id="2" name="Magnitud" dataDxfId="775"/>
  </tableColumns>
  <tableStyleInfo name="TableStyleMedium2" showFirstColumn="0" showLastColumn="0" showRowStripes="1" showColumnStripes="0"/>
</table>
</file>

<file path=xl/tables/table100.xml><?xml version="1.0" encoding="utf-8"?>
<table xmlns="http://schemas.openxmlformats.org/spreadsheetml/2006/main" id="17" name="Tabla17" displayName="Tabla17" ref="H89:K90" totalsRowShown="0" headerRowDxfId="102" dataDxfId="101">
  <autoFilter ref="H89:K90"/>
  <tableColumns count="4">
    <tableColumn id="1" name="Grados de alcohol " dataDxfId="100">
      <calculatedColumnFormula>M80/((C86*0.798)*10)</calculatedColumnFormula>
    </tableColumn>
    <tableColumn id="2" name="Levadura húmeda(kg)" dataDxfId="99">
      <calculatedColumnFormula>C98*C86/1000</calculatedColumnFormula>
    </tableColumn>
    <tableColumn id="3" name="Azúcares no fermentables" dataDxfId="98">
      <calculatedColumnFormula>(Fermentador!C83*Fermentador!C86/1000)+((Fermentador!C97)*Fermentador!C86/1000)+(Fermentador!C96)*Fermentador!C86/1000</calculatedColumnFormula>
    </tableColumn>
    <tableColumn id="4" name="Error% balance masa" dataDxfId="97">
      <calculatedColumnFormula>I86*100/SUM(J80:J84)</calculatedColumnFormula>
    </tableColumn>
  </tableColumns>
  <tableStyleInfo name="TableStyleMedium2" showFirstColumn="0" showLastColumn="0" showRowStripes="1" showColumnStripes="0"/>
</table>
</file>

<file path=xl/tables/table101.xml><?xml version="1.0" encoding="utf-8"?>
<table xmlns="http://schemas.openxmlformats.org/spreadsheetml/2006/main" id="18" name="Tabla18" displayName="Tabla18" ref="A103:F115" totalsRowShown="0" headerRowDxfId="96">
  <autoFilter ref="A103:F115"/>
  <tableColumns count="6">
    <tableColumn id="1" name="Parámetros iniciales" dataDxfId="95"/>
    <tableColumn id="2" name="Símbolo " dataDxfId="94"/>
    <tableColumn id="3" name="Magnitud" dataDxfId="93"/>
    <tableColumn id="4" name="Unidades" dataDxfId="92"/>
    <tableColumn id="5" name="Supuesto"/>
    <tableColumn id="6" name="Bibliografía" dataDxfId="91"/>
  </tableColumns>
  <tableStyleInfo name="TableStyleMedium3" showFirstColumn="0" showLastColumn="0" showRowStripes="1" showColumnStripes="0"/>
</table>
</file>

<file path=xl/tables/table102.xml><?xml version="1.0" encoding="utf-8"?>
<table xmlns="http://schemas.openxmlformats.org/spreadsheetml/2006/main" id="19" name="Tabla19" displayName="Tabla19" ref="H103:M110" totalsRowShown="0" headerRowDxfId="90" dataDxfId="89">
  <autoFilter ref="H103:M110"/>
  <tableColumns count="6">
    <tableColumn id="1" name="Sustratos consumidos" dataDxfId="88"/>
    <tableColumn id="2" name="Masa [mol]" dataDxfId="87"/>
    <tableColumn id="3" name="Masa [g]" dataDxfId="86"/>
    <tableColumn id="4" name="Productos Generados" dataDxfId="85"/>
    <tableColumn id="5" name="Masa [mol]2" dataDxfId="84"/>
    <tableColumn id="6" name="Masa [g]3" dataDxfId="83"/>
  </tableColumns>
  <tableStyleInfo name="TableStyleMedium3" showFirstColumn="0" showLastColumn="0" showRowStripes="1" showColumnStripes="0"/>
</table>
</file>

<file path=xl/tables/table103.xml><?xml version="1.0" encoding="utf-8"?>
<table xmlns="http://schemas.openxmlformats.org/spreadsheetml/2006/main" id="20" name="Tabla20" displayName="Tabla20" ref="H113:K114" totalsRowShown="0" headerRowDxfId="82" dataDxfId="80" headerRowBorderDxfId="81" tableBorderDxfId="79" totalsRowBorderDxfId="78">
  <autoFilter ref="H113:K114"/>
  <tableColumns count="4">
    <tableColumn id="1" name="Grados de Alcohol" dataDxfId="77">
      <calculatedColumnFormula>M104*1000/(C110*1000*0.798*10)</calculatedColumnFormula>
    </tableColumn>
    <tableColumn id="2" name="Levadura húmeda(kg)" dataDxfId="76">
      <calculatedColumnFormula>C123*C110/1000</calculatedColumnFormula>
    </tableColumn>
    <tableColumn id="3" name="Azúcares no fermentables" dataDxfId="75">
      <calculatedColumnFormula>(Fermentador!C107*Fermentador!C110/1000)+((Fermentador!C122)*Fermentador!C110/1000)+(Fermentador!C121)*Fermentador!C110/1000</calculatedColumnFormula>
    </tableColumn>
    <tableColumn id="4" name="Error % Balance Masa" dataDxfId="74">
      <calculatedColumnFormula>I111*100/SUM(J104:J110)</calculatedColumnFormula>
    </tableColumn>
  </tableColumns>
  <tableStyleInfo name="TableStyleMedium3" showFirstColumn="0" showLastColumn="0" showRowStripes="1" showColumnStripes="0"/>
</table>
</file>

<file path=xl/tables/table104.xml><?xml version="1.0" encoding="utf-8"?>
<table xmlns="http://schemas.openxmlformats.org/spreadsheetml/2006/main" id="21" name="Tabla21" displayName="Tabla21" ref="A118:D123" totalsRowShown="0" headerRowDxfId="73" dataDxfId="72">
  <autoFilter ref="A118:D123"/>
  <tableColumns count="4">
    <tableColumn id="1" name="Parámetros obtenidos mediate el modelo " dataDxfId="71"/>
    <tableColumn id="2" name="Símbolo" dataDxfId="70"/>
    <tableColumn id="3" name="Magnitud" dataDxfId="69"/>
    <tableColumn id="4" name="Unidades" dataDxfId="68"/>
  </tableColumns>
  <tableStyleInfo name="TableStyleMedium3" showFirstColumn="0" showLastColumn="0" showRowStripes="1" showColumnStripes="0"/>
</table>
</file>

<file path=xl/tables/table105.xml><?xml version="1.0" encoding="utf-8"?>
<table xmlns="http://schemas.openxmlformats.org/spreadsheetml/2006/main" id="22" name="Tabla22" displayName="Tabla22" ref="A129:F141" totalsRowShown="0" headerRowDxfId="67" headerRowBorderDxfId="66" tableBorderDxfId="65" totalsRowBorderDxfId="64">
  <autoFilter ref="A129:F141"/>
  <tableColumns count="6">
    <tableColumn id="1" name="Parámetros iniciales" dataDxfId="63"/>
    <tableColumn id="2" name="Símbolo " dataDxfId="62"/>
    <tableColumn id="3" name="Unidades" dataDxfId="61"/>
    <tableColumn id="4" name="Magnitud" dataDxfId="60"/>
    <tableColumn id="5" name="Supuesto" dataDxfId="59"/>
    <tableColumn id="6" name="Bibliografía" dataDxfId="58"/>
  </tableColumns>
  <tableStyleInfo name="TableStyleMedium5" showFirstColumn="0" showLastColumn="0" showRowStripes="1" showColumnStripes="0"/>
</table>
</file>

<file path=xl/tables/table106.xml><?xml version="1.0" encoding="utf-8"?>
<table xmlns="http://schemas.openxmlformats.org/spreadsheetml/2006/main" id="23" name="Tabla23" displayName="Tabla23" ref="A144:D149" totalsRowShown="0" headerRowDxfId="57" headerRowBorderDxfId="56" tableBorderDxfId="55" totalsRowBorderDxfId="54">
  <autoFilter ref="A144:D149"/>
  <tableColumns count="4">
    <tableColumn id="1" name="Parámetros obtenidos mediate el modelo " dataDxfId="53"/>
    <tableColumn id="2" name="Símbolo" dataDxfId="52"/>
    <tableColumn id="3" name="Magnitud" dataDxfId="51"/>
    <tableColumn id="4" name="Unidades" dataDxfId="50"/>
  </tableColumns>
  <tableStyleInfo name="TableStyleMedium5" showFirstColumn="0" showLastColumn="0" showRowStripes="1" showColumnStripes="0"/>
</table>
</file>

<file path=xl/tables/table107.xml><?xml version="1.0" encoding="utf-8"?>
<table xmlns="http://schemas.openxmlformats.org/spreadsheetml/2006/main" id="24" name="Tabla24" displayName="Tabla24" ref="H129:M135" totalsRowShown="0" headerRowDxfId="49" dataDxfId="48">
  <autoFilter ref="H129:M135"/>
  <tableColumns count="6">
    <tableColumn id="1" name="Sustratos consumidos" dataDxfId="47"/>
    <tableColumn id="2" name="Masa [mol]" dataDxfId="46"/>
    <tableColumn id="3" name="Masa [g]" dataDxfId="45"/>
    <tableColumn id="4" name="Productos Generados" dataDxfId="44"/>
    <tableColumn id="5" name="Masa[mol]" dataDxfId="43"/>
    <tableColumn id="6" name="Masa[g]" dataDxfId="42"/>
  </tableColumns>
  <tableStyleInfo name="TableStyleMedium5" showFirstColumn="0" showLastColumn="0" showRowStripes="1" showColumnStripes="0"/>
</table>
</file>

<file path=xl/tables/table108.xml><?xml version="1.0" encoding="utf-8"?>
<table xmlns="http://schemas.openxmlformats.org/spreadsheetml/2006/main" id="25" name="Tabla25" displayName="Tabla25" ref="H139:K140" totalsRowShown="0" headerRowDxfId="41" dataDxfId="39" headerRowBorderDxfId="40" tableBorderDxfId="38" totalsRowBorderDxfId="37">
  <autoFilter ref="H139:K140"/>
  <tableColumns count="4">
    <tableColumn id="1" name="Grados de Alcohol" dataDxfId="36">
      <calculatedColumnFormula>M130*1000/(C136*1000*0.798*10)</calculatedColumnFormula>
    </tableColumn>
    <tableColumn id="2" name="Levadura húmeda(kg)" dataDxfId="35">
      <calculatedColumnFormula>C149*C136/1000</calculatedColumnFormula>
    </tableColumn>
    <tableColumn id="3" name="Azúcares no fermentables" dataDxfId="34">
      <calculatedColumnFormula>(Fermentador!C133*Fermentador!C136/1000)+((Fermentador!C148)*Fermentador!C136/1000)+(Fermentador!C147)*Fermentador!C136/1000</calculatedColumnFormula>
    </tableColumn>
    <tableColumn id="4" name="Error% Balance Masa" dataDxfId="33">
      <calculatedColumnFormula>I136*100/SUM(J130:J135)</calculatedColumnFormula>
    </tableColumn>
  </tableColumns>
  <tableStyleInfo name="TableStyleMedium5" showFirstColumn="0" showLastColumn="0" showRowStripes="1" showColumnStripes="0"/>
</table>
</file>

<file path=xl/tables/table109.xml><?xml version="1.0" encoding="utf-8"?>
<table xmlns="http://schemas.openxmlformats.org/spreadsheetml/2006/main" id="101" name="Tabla3102" displayName="Tabla3102" ref="B5:H21" totalsRowShown="0" headerRowDxfId="32" dataDxfId="30" headerRowBorderDxfId="31" tableBorderDxfId="29">
  <autoFilter ref="B5:H21"/>
  <tableColumns count="7">
    <tableColumn id="1" name="Propiedades" dataDxfId="28"/>
    <tableColumn id="4" name="Símbolo" dataDxfId="27"/>
    <tableColumn id="5" name="Magnitud" dataDxfId="26"/>
    <tableColumn id="6" name="Unidades" dataDxfId="25"/>
    <tableColumn id="7" name="Ecuación" dataDxfId="24"/>
    <tableColumn id="8" name="Supuestos" dataDxfId="23"/>
    <tableColumn id="9" name="Bibliografía" dataDxfId="22"/>
  </tableColumns>
  <tableStyleInfo name="TableStyleMedium1" showFirstColumn="0" showLastColumn="0" showRowStripes="1" showColumnStripes="0"/>
</table>
</file>

<file path=xl/tables/table11.xml><?xml version="1.0" encoding="utf-8"?>
<table xmlns="http://schemas.openxmlformats.org/spreadsheetml/2006/main" id="120" name="Tabla580121" displayName="Tabla580121" ref="I32:M37" totalsRowShown="0" headerRowDxfId="774" dataDxfId="773">
  <autoFilter ref="I32:M37"/>
  <tableColumns count="5">
    <tableColumn id="1" name="Balance American Ambar Ale" dataDxfId="772"/>
    <tableColumn id="2" name="Símbolo" dataDxfId="771"/>
    <tableColumn id="3" name="Magnitud" dataDxfId="770"/>
    <tableColumn id="4" name="Unidad" dataDxfId="769"/>
    <tableColumn id="5" name="Concentración de arsénico [mg/L]" dataDxfId="768"/>
  </tableColumns>
  <tableStyleInfo name="TableStyleMedium3" showFirstColumn="0" showLastColumn="0" showRowStripes="1" showColumnStripes="0"/>
</table>
</file>

<file path=xl/tables/table110.xml><?xml version="1.0" encoding="utf-8"?>
<table xmlns="http://schemas.openxmlformats.org/spreadsheetml/2006/main" id="102" name="Tabla40" displayName="Tabla40" ref="B23:J35" totalsRowShown="0" headerRowDxfId="21" dataDxfId="19" headerRowBorderDxfId="20" tableBorderDxfId="18" totalsRowBorderDxfId="17">
  <autoFilter ref="B23:J35"/>
  <tableColumns count="9">
    <tableColumn id="1" name="Dimensionamiento del secador" dataDxfId="16"/>
    <tableColumn id="2" name="Columna1" dataDxfId="15"/>
    <tableColumn id="3" name="Columna2" dataDxfId="14"/>
    <tableColumn id="4" name="Símbolo" dataDxfId="13"/>
    <tableColumn id="5" name="Magnitud" dataDxfId="12"/>
    <tableColumn id="6" name="Unidades" dataDxfId="11"/>
    <tableColumn id="7" name="Ecuación" dataDxfId="10"/>
    <tableColumn id="8" name="Supuestos" dataDxfId="9"/>
    <tableColumn id="9" name="Bibliografía" dataDxfId="8"/>
  </tableColumns>
  <tableStyleInfo name="TableStyleMedium1" showFirstColumn="0" showLastColumn="0" showRowStripes="1" showColumnStripes="0"/>
</table>
</file>

<file path=xl/tables/table111.xml><?xml version="1.0" encoding="utf-8"?>
<table xmlns="http://schemas.openxmlformats.org/spreadsheetml/2006/main" id="103" name="Tabla41" displayName="Tabla41" ref="H13:J15" totalsRowShown="0">
  <autoFilter ref="H13:J15"/>
  <tableColumns count="3">
    <tableColumn id="1" name="Fruta"/>
    <tableColumn id="2" name="Relación de kilos de fruta por Litros de cerveza" dataDxfId="7">
      <calculatedColumnFormula>0.566/2</calculatedColumnFormula>
    </tableColumn>
    <tableColumn id="3" name="Columna2"/>
  </tableColumns>
  <tableStyleInfo name="TableStyleMedium1" showFirstColumn="0" showLastColumn="0" showRowStripes="1" showColumnStripes="0"/>
</table>
</file>

<file path=xl/tables/table112.xml><?xml version="1.0" encoding="utf-8"?>
<table xmlns="http://schemas.openxmlformats.org/spreadsheetml/2006/main" id="104" name="Tabla88" displayName="Tabla88" ref="A13:B16" totalsRowShown="0" headerRowDxfId="6" headerRowBorderDxfId="5" tableBorderDxfId="4" totalsRowBorderDxfId="3">
  <autoFilter ref="A13:B16"/>
  <tableColumns count="2">
    <tableColumn id="1" name="Cerveza" dataDxfId="2"/>
    <tableColumn id="2" name="Volumen inicial" dataDxfId="1"/>
  </tableColumns>
  <tableStyleInfo name="TableStyleMedium1" showFirstColumn="0" showLastColumn="0" showRowStripes="1" showColumnStripes="0"/>
</table>
</file>

<file path=xl/tables/table12.xml><?xml version="1.0" encoding="utf-8"?>
<table xmlns="http://schemas.openxmlformats.org/spreadsheetml/2006/main" id="121" name="Tabla681122" displayName="Tabla681122" ref="I42:M47" totalsRowShown="0" headerRowDxfId="767" dataDxfId="766">
  <autoFilter ref="I42:M47"/>
  <tableColumns count="5">
    <tableColumn id="1" name="Balance Golden Ale" dataDxfId="765"/>
    <tableColumn id="2" name="Símbolo" dataDxfId="764"/>
    <tableColumn id="3" name="Magnitud" dataDxfId="763"/>
    <tableColumn id="4" name="Unidad" dataDxfId="762"/>
    <tableColumn id="5" name="Concentración de arsénico [mg/L]" dataDxfId="761"/>
  </tableColumns>
  <tableStyleInfo name="TableStyleMedium5" showFirstColumn="0" showLastColumn="0" showRowStripes="1" showColumnStripes="0"/>
</table>
</file>

<file path=xl/tables/table13.xml><?xml version="1.0" encoding="utf-8"?>
<table xmlns="http://schemas.openxmlformats.org/spreadsheetml/2006/main" id="122" name="Tabla2123" displayName="Tabla2123" ref="I19:M23" totalsRowShown="0" headerRowDxfId="760" dataDxfId="759">
  <autoFilter ref="I19:M23"/>
  <tableColumns count="5">
    <tableColumn id="1" name="Balance Imperial Stout" dataDxfId="758"/>
    <tableColumn id="2" name="Símbolo" dataDxfId="757"/>
    <tableColumn id="3" name="Magnitud" dataDxfId="756"/>
    <tableColumn id="4" name="Unidad" dataDxfId="755"/>
    <tableColumn id="5" name="Concentración de arsénico [mg/L]" dataDxfId="754"/>
  </tableColumns>
  <tableStyleInfo name="TableStyleMedium2" showFirstColumn="0" showLastColumn="0" showRowStripes="1" showColumnStripes="0"/>
</table>
</file>

<file path=xl/tables/table14.xml><?xml version="1.0" encoding="utf-8"?>
<table xmlns="http://schemas.openxmlformats.org/spreadsheetml/2006/main" id="123" name="Tabla3124" displayName="Tabla3124" ref="I8:J14" totalsRowShown="0" headerRowDxfId="753" dataDxfId="752">
  <autoFilter ref="I8:J14"/>
  <tableColumns count="2">
    <tableColumn id="1" name="Datos" dataDxfId="751"/>
    <tableColumn id="2" name="Magnitud" dataDxfId="750"/>
  </tableColumns>
  <tableStyleInfo name="TableStyleMedium2" showFirstColumn="0" showLastColumn="0" showRowStripes="1" showColumnStripes="0"/>
</table>
</file>

<file path=xl/tables/table15.xml><?xml version="1.0" encoding="utf-8"?>
<table xmlns="http://schemas.openxmlformats.org/spreadsheetml/2006/main" id="124" name="Tabla5125" displayName="Tabla5125" ref="I28:M32" totalsRowShown="0" headerRowDxfId="749" dataDxfId="748">
  <autoFilter ref="I28:M32"/>
  <tableColumns count="5">
    <tableColumn id="1" name="Balance American Ambar Ale" dataDxfId="747"/>
    <tableColumn id="2" name="Símbolo" dataDxfId="746"/>
    <tableColumn id="3" name="Magnitud" dataDxfId="745"/>
    <tableColumn id="4" name="Unidad" dataDxfId="744"/>
    <tableColumn id="5" name="Concentración de arsénico [mg/L]" dataDxfId="743"/>
  </tableColumns>
  <tableStyleInfo name="TableStyleMedium3" showFirstColumn="0" showLastColumn="0" showRowStripes="1" showColumnStripes="0"/>
</table>
</file>

<file path=xl/tables/table16.xml><?xml version="1.0" encoding="utf-8"?>
<table xmlns="http://schemas.openxmlformats.org/spreadsheetml/2006/main" id="125" name="Tabla6126" displayName="Tabla6126" ref="I37:M41" totalsRowShown="0" headerRowDxfId="742" dataDxfId="741">
  <autoFilter ref="I37:M41"/>
  <tableColumns count="5">
    <tableColumn id="1" name="Balance Golden Ale" dataDxfId="740"/>
    <tableColumn id="2" name="Símbolo" dataDxfId="739"/>
    <tableColumn id="3" name="Magnitud" dataDxfId="738"/>
    <tableColumn id="4" name="Unidad" dataDxfId="737"/>
    <tableColumn id="5" name="Concentración de arsénico [mg/L]" dataDxfId="736"/>
  </tableColumns>
  <tableStyleInfo name="TableStyleMedium5" showFirstColumn="0" showLastColumn="0" showRowStripes="1" showColumnStripes="0"/>
</table>
</file>

<file path=xl/tables/table17.xml><?xml version="1.0" encoding="utf-8"?>
<table xmlns="http://schemas.openxmlformats.org/spreadsheetml/2006/main" id="126" name="Tabla76127" displayName="Tabla76127" ref="A14:E22" totalsRowShown="0" headerRowDxfId="735" headerRowBorderDxfId="734" tableBorderDxfId="733" totalsRowBorderDxfId="732">
  <autoFilter ref="A14:E22"/>
  <tableColumns count="5">
    <tableColumn id="1" name="Dimensiones del equipo" dataDxfId="731"/>
    <tableColumn id="6" name="Símbolo" dataDxfId="730"/>
    <tableColumn id="7" name="Magnitud" dataDxfId="729"/>
    <tableColumn id="8" name="Unidades" dataDxfId="728"/>
    <tableColumn id="9" name="Bibliografía" dataDxfId="727"/>
  </tableColumns>
  <tableStyleInfo name="TableStyleMedium1" showFirstColumn="0" showLastColumn="0" showRowStripes="1" showColumnStripes="0"/>
</table>
</file>

<file path=xl/tables/table18.xml><?xml version="1.0" encoding="utf-8"?>
<table xmlns="http://schemas.openxmlformats.org/spreadsheetml/2006/main" id="127" name="Tabla81128" displayName="Tabla81128" ref="A24:E27" totalsRowShown="0" headerRowDxfId="726" headerRowBorderDxfId="725" tableBorderDxfId="724" totalsRowBorderDxfId="723">
  <autoFilter ref="A24:E27"/>
  <tableColumns count="5">
    <tableColumn id="1" name="Parámetros operacionales" dataDxfId="722"/>
    <tableColumn id="6" name="Símbolo"/>
    <tableColumn id="7" name="Magnitud" dataDxfId="721"/>
    <tableColumn id="8" name="Unidades" dataDxfId="720"/>
    <tableColumn id="9" name="Supuestos "/>
  </tableColumns>
  <tableStyleInfo name="TableStyleMedium1" showFirstColumn="0" showLastColumn="0" showRowStripes="1" showColumnStripes="0"/>
</table>
</file>

<file path=xl/tables/table19.xml><?xml version="1.0" encoding="utf-8"?>
<table xmlns="http://schemas.openxmlformats.org/spreadsheetml/2006/main" id="128" name="Tabla83129" displayName="Tabla83129" ref="A30:G39" totalsRowShown="0" headerRowDxfId="719" dataDxfId="717" headerRowBorderDxfId="718" tableBorderDxfId="716">
  <autoFilter ref="A30:G39"/>
  <tableColumns count="7">
    <tableColumn id="1" name="Parámetros calculados" dataDxfId="715"/>
    <tableColumn id="6" name="Símbolo" dataDxfId="714"/>
    <tableColumn id="7" name="Magnitud" dataDxfId="713"/>
    <tableColumn id="8" name="Unidades" dataDxfId="712"/>
    <tableColumn id="9" name="Ecuación" dataDxfId="711"/>
    <tableColumn id="10" name="Supuestos" dataDxfId="710"/>
    <tableColumn id="11" name="Bibliografía" dataDxfId="709"/>
  </tableColumns>
  <tableStyleInfo name="TableStyleMedium1" showFirstColumn="0" showLastColumn="0" showRowStripes="1" showColumnStripes="0"/>
</table>
</file>

<file path=xl/tables/table2.xml><?xml version="1.0" encoding="utf-8"?>
<table xmlns="http://schemas.openxmlformats.org/spreadsheetml/2006/main" id="110" name="Tabla38106107109" displayName="Tabla38106107109" ref="B20:F39" totalsRowShown="0" headerRowDxfId="850" dataDxfId="848" headerRowBorderDxfId="849" tableBorderDxfId="847" totalsRowBorderDxfId="846">
  <autoFilter ref="B20:F39"/>
  <tableColumns count="5">
    <tableColumn id="1" name="Dimensiones del equipo" dataDxfId="845"/>
    <tableColumn id="6" name="Símbolo" dataDxfId="844"/>
    <tableColumn id="7" name="Magnitud" dataDxfId="843"/>
    <tableColumn id="8" name="Unidades" dataDxfId="842"/>
    <tableColumn id="9" name="Bibliografía" dataDxfId="841"/>
  </tableColumns>
  <tableStyleInfo name="TableStyleMedium1" showFirstColumn="0" showLastColumn="0" showRowStripes="1" showColumnStripes="0"/>
</table>
</file>

<file path=xl/tables/table20.xml><?xml version="1.0" encoding="utf-8"?>
<table xmlns="http://schemas.openxmlformats.org/spreadsheetml/2006/main" id="77" name="Tabla1178" displayName="Tabla1178" ref="A15:E34" totalsRowShown="0" headerRowDxfId="708" headerRowBorderDxfId="707" tableBorderDxfId="706" totalsRowBorderDxfId="705">
  <autoFilter ref="A15:E34"/>
  <tableColumns count="5">
    <tableColumn id="1" name="Datos bibliográficos" dataDxfId="704"/>
    <tableColumn id="2" name="Símbolo " dataDxfId="703"/>
    <tableColumn id="3" name="Magnitud" dataDxfId="702"/>
    <tableColumn id="4" name="Unidades" dataDxfId="701"/>
    <tableColumn id="6" name="Bibliografía" dataDxfId="700"/>
  </tableColumns>
  <tableStyleInfo name="TableStyleMedium1" showFirstColumn="0" showLastColumn="0" showRowStripes="1" showColumnStripes="0"/>
</table>
</file>

<file path=xl/tables/table21.xml><?xml version="1.0" encoding="utf-8"?>
<table xmlns="http://schemas.openxmlformats.org/spreadsheetml/2006/main" id="78" name="Tabla179" displayName="Tabla179" ref="A37:D47" totalsRowShown="0" headerRowBorderDxfId="699" tableBorderDxfId="698" totalsRowBorderDxfId="697">
  <autoFilter ref="A37:D47"/>
  <tableColumns count="4">
    <tableColumn id="1" name="Parámetros modelo" dataDxfId="696"/>
    <tableColumn id="2" name="Símbolo " dataDxfId="695"/>
    <tableColumn id="3" name="Unidades" dataDxfId="694"/>
    <tableColumn id="4" name="Bibliografía"/>
  </tableColumns>
  <tableStyleInfo name="TableStyleMedium1" showFirstColumn="0" showLastColumn="0" showRowStripes="1" showColumnStripes="0"/>
</table>
</file>

<file path=xl/tables/table22.xml><?xml version="1.0" encoding="utf-8"?>
<table xmlns="http://schemas.openxmlformats.org/spreadsheetml/2006/main" id="80" name="Tabla117881" displayName="Tabla117881" ref="A94:F101" totalsRowShown="0" headerRowDxfId="693" headerRowBorderDxfId="692" tableBorderDxfId="691" totalsRowBorderDxfId="690">
  <autoFilter ref="A94:F101"/>
  <tableColumns count="6">
    <tableColumn id="1" name="Condiciones iniciales " dataDxfId="689"/>
    <tableColumn id="2" name="Símbolo " dataDxfId="688"/>
    <tableColumn id="3" name="Magnitud" dataDxfId="687"/>
    <tableColumn id="4" name="Unidades" dataDxfId="686"/>
    <tableColumn id="5" name="Supuesto" dataDxfId="685"/>
    <tableColumn id="6" name="Bibliografía" dataDxfId="684"/>
  </tableColumns>
  <tableStyleInfo name="TableStyleMedium1" showFirstColumn="0" showLastColumn="0" showRowStripes="1" showColumnStripes="0"/>
</table>
</file>

<file path=xl/tables/table23.xml><?xml version="1.0" encoding="utf-8"?>
<table xmlns="http://schemas.openxmlformats.org/spreadsheetml/2006/main" id="81" name="Tabla1482" displayName="Tabla1482" ref="A107:E116" totalsRowShown="0" headerRowDxfId="683">
  <autoFilter ref="A107:E116"/>
  <tableColumns count="5">
    <tableColumn id="1" name="Parámetros iniciales" dataDxfId="682"/>
    <tableColumn id="2" name="Símbolo " dataDxfId="681"/>
    <tableColumn id="3" name="Magnitud" dataDxfId="680"/>
    <tableColumn id="4" name="Unidades" dataDxfId="679"/>
    <tableColumn id="5" name="Bibliografía" dataDxfId="0"/>
  </tableColumns>
  <tableStyleInfo name="TableStyleMedium6" showFirstColumn="0" showLastColumn="0" showRowStripes="1" showColumnStripes="0"/>
</table>
</file>

<file path=xl/tables/table24.xml><?xml version="1.0" encoding="utf-8"?>
<table xmlns="http://schemas.openxmlformats.org/spreadsheetml/2006/main" id="82" name="Tabla148283" displayName="Tabla148283" ref="A118:E126" totalsRowShown="0" headerRowDxfId="678">
  <autoFilter ref="A118:E126"/>
  <tableColumns count="5">
    <tableColumn id="1" name="Parámetros obtenidos mediate el modelo " dataDxfId="677"/>
    <tableColumn id="2" name="Símbolo " dataDxfId="676"/>
    <tableColumn id="3" name="Magnitud" dataDxfId="675"/>
    <tableColumn id="4" name="Unidades" dataDxfId="674"/>
    <tableColumn id="6" name="Bibliografía" dataDxfId="673"/>
  </tableColumns>
  <tableStyleInfo name="TableStyleMedium6" showFirstColumn="0" showLastColumn="0" showRowStripes="1" showColumnStripes="0"/>
</table>
</file>

<file path=xl/tables/table25.xml><?xml version="1.0" encoding="utf-8"?>
<table xmlns="http://schemas.openxmlformats.org/spreadsheetml/2006/main" id="83" name="Tabla148284" displayName="Tabla148284" ref="A132:E141" totalsRowShown="0" headerRowDxfId="672">
  <autoFilter ref="A132:E141"/>
  <tableColumns count="5">
    <tableColumn id="1" name="Parámetros iniciales" dataDxfId="671"/>
    <tableColumn id="2" name="Símbolo " dataDxfId="670"/>
    <tableColumn id="3" name="Magnitud" dataDxfId="669"/>
    <tableColumn id="4" name="Unidades" dataDxfId="668"/>
    <tableColumn id="6" name="Bibliografía" dataDxfId="667"/>
  </tableColumns>
  <tableStyleInfo name="TableStyleMedium10" showFirstColumn="0" showLastColumn="0" showRowStripes="1" showColumnStripes="0"/>
</table>
</file>

<file path=xl/tables/table26.xml><?xml version="1.0" encoding="utf-8"?>
<table xmlns="http://schemas.openxmlformats.org/spreadsheetml/2006/main" id="84" name="Tabla14828385" displayName="Tabla14828385" ref="A143:E151" totalsRowShown="0" headerRowDxfId="666">
  <autoFilter ref="A143:E151"/>
  <tableColumns count="5">
    <tableColumn id="1" name="Parámetros obtenidos mediate el modelo " dataDxfId="665"/>
    <tableColumn id="2" name="Símbolo " dataDxfId="664"/>
    <tableColumn id="3" name="Magnitud" dataDxfId="663"/>
    <tableColumn id="4" name="Unidades" dataDxfId="662"/>
    <tableColumn id="6" name="Bibliografía" dataDxfId="661"/>
  </tableColumns>
  <tableStyleInfo name="TableStyleMedium10" showFirstColumn="0" showLastColumn="0" showRowStripes="1" showColumnStripes="0"/>
</table>
</file>

<file path=xl/tables/table27.xml><?xml version="1.0" encoding="utf-8"?>
<table xmlns="http://schemas.openxmlformats.org/spreadsheetml/2006/main" id="85" name="Tabla14828486" displayName="Tabla14828486" ref="A156:E165" totalsRowShown="0" headerRowDxfId="660">
  <autoFilter ref="A156:E165"/>
  <tableColumns count="5">
    <tableColumn id="1" name="Parámetros iniciales" dataDxfId="659"/>
    <tableColumn id="2" name="Símbolo " dataDxfId="658"/>
    <tableColumn id="3" name="Magnitud" dataDxfId="657"/>
    <tableColumn id="4" name="Unidades" dataDxfId="656"/>
    <tableColumn id="6" name="Bibliografía" dataDxfId="655"/>
  </tableColumns>
  <tableStyleInfo name="TableStyleMedium12" showFirstColumn="0" showLastColumn="0" showRowStripes="1" showColumnStripes="0"/>
</table>
</file>

<file path=xl/tables/table28.xml><?xml version="1.0" encoding="utf-8"?>
<table xmlns="http://schemas.openxmlformats.org/spreadsheetml/2006/main" id="86" name="Tabla1482838587" displayName="Tabla1482838587" ref="A167:E175" totalsRowShown="0" headerRowDxfId="654">
  <autoFilter ref="A167:E175"/>
  <tableColumns count="5">
    <tableColumn id="1" name="Parámetros obtenidos mediate el modelo " dataDxfId="653"/>
    <tableColumn id="2" name="Símbolo " dataDxfId="652"/>
    <tableColumn id="3" name="Magnitud" dataDxfId="651"/>
    <tableColumn id="4" name="Unidades" dataDxfId="650"/>
    <tableColumn id="6" name="Bibliografía" dataDxfId="649"/>
  </tableColumns>
  <tableStyleInfo name="TableStyleMedium12" showFirstColumn="0" showLastColumn="0" showRowStripes="1" showColumnStripes="0"/>
</table>
</file>

<file path=xl/tables/table29.xml><?xml version="1.0" encoding="utf-8"?>
<table xmlns="http://schemas.openxmlformats.org/spreadsheetml/2006/main" id="79" name="Tabla79" displayName="Tabla79" ref="G108:I112" totalsRowShown="0" headerRowDxfId="648" dataDxfId="647">
  <autoFilter ref="G108:I112"/>
  <tableColumns count="3">
    <tableColumn id="1" name="--" dataDxfId="646"/>
    <tableColumn id="2" name="Masa entrada [kg]" dataDxfId="645"/>
    <tableColumn id="3" name="Masa salida [kg]" dataDxfId="644"/>
  </tableColumns>
  <tableStyleInfo name="TableStyleMedium2" showFirstColumn="0" showLastColumn="0" showRowStripes="1" showColumnStripes="0"/>
</table>
</file>

<file path=xl/tables/table3.xml><?xml version="1.0" encoding="utf-8"?>
<table xmlns="http://schemas.openxmlformats.org/spreadsheetml/2006/main" id="111" name="Tabla38106108" displayName="Tabla38106108" ref="B18:F24" totalsRowShown="0" headerRowDxfId="840" headerRowBorderDxfId="839" tableBorderDxfId="838" totalsRowBorderDxfId="837">
  <autoFilter ref="B18:F24"/>
  <tableColumns count="5">
    <tableColumn id="1" name="Dimensiones del equipo" dataDxfId="836"/>
    <tableColumn id="6" name="Símbolo" dataDxfId="835"/>
    <tableColumn id="7" name="Magnitud" dataDxfId="834"/>
    <tableColumn id="8" name="Unidades" dataDxfId="833"/>
    <tableColumn id="9" name="Bibliografía" dataDxfId="832"/>
  </tableColumns>
  <tableStyleInfo name="TableStyleMedium1" showFirstColumn="0" showLastColumn="0" showRowStripes="1" showColumnStripes="0"/>
</table>
</file>

<file path=xl/tables/table30.xml><?xml version="1.0" encoding="utf-8"?>
<table xmlns="http://schemas.openxmlformats.org/spreadsheetml/2006/main" id="87" name="Tabla87" displayName="Tabla87" ref="K108:M113" totalsRowShown="0" headerRowDxfId="643" dataDxfId="642">
  <autoFilter ref="K108:M113"/>
  <tableColumns count="3">
    <tableColumn id="1" name="Columna1" dataDxfId="641"/>
    <tableColumn id="2" name="Masa entrada [kg]" dataDxfId="640"/>
    <tableColumn id="3" name="Masa salida [kg]" dataDxfId="639"/>
  </tableColumns>
  <tableStyleInfo name="TableStyleMedium2" showFirstColumn="0" showLastColumn="0" showRowStripes="1" showColumnStripes="0"/>
</table>
</file>

<file path=xl/tables/table31.xml><?xml version="1.0" encoding="utf-8"?>
<table xmlns="http://schemas.openxmlformats.org/spreadsheetml/2006/main" id="90" name="Tabla7991" displayName="Tabla7991" ref="G133:I137" totalsRowShown="0" headerRowDxfId="638" dataDxfId="637">
  <autoFilter ref="G133:I137"/>
  <tableColumns count="3">
    <tableColumn id="1" name="--" dataDxfId="636"/>
    <tableColumn id="2" name="Masa entrada [kg]" dataDxfId="635"/>
    <tableColumn id="3" name="Masa salida [kg]" dataDxfId="634"/>
  </tableColumns>
  <tableStyleInfo name="TableStyleMedium3" showFirstColumn="0" showLastColumn="0" showRowStripes="1" showColumnStripes="0"/>
</table>
</file>

<file path=xl/tables/table32.xml><?xml version="1.0" encoding="utf-8"?>
<table xmlns="http://schemas.openxmlformats.org/spreadsheetml/2006/main" id="91" name="Tabla8792" displayName="Tabla8792" ref="K133:M138" totalsRowShown="0" headerRowDxfId="633" dataDxfId="632">
  <autoFilter ref="K133:M138"/>
  <tableColumns count="3">
    <tableColumn id="1" name="Columna1" dataDxfId="631"/>
    <tableColumn id="2" name="Masa entrada [kg]" dataDxfId="630"/>
    <tableColumn id="3" name="Masa salida [kg]" dataDxfId="629"/>
  </tableColumns>
  <tableStyleInfo name="TableStyleMedium3" showFirstColumn="0" showLastColumn="0" showRowStripes="1" showColumnStripes="0"/>
</table>
</file>

<file path=xl/tables/table33.xml><?xml version="1.0" encoding="utf-8"?>
<table xmlns="http://schemas.openxmlformats.org/spreadsheetml/2006/main" id="92" name="Tabla799193" displayName="Tabla799193" ref="G157:I161" totalsRowShown="0" headerRowDxfId="628" dataDxfId="627">
  <autoFilter ref="G157:I161"/>
  <tableColumns count="3">
    <tableColumn id="1" name="--" dataDxfId="626"/>
    <tableColumn id="2" name="Masa entrada [kg]" dataDxfId="625"/>
    <tableColumn id="3" name="Masa salida [kg]" dataDxfId="624"/>
  </tableColumns>
  <tableStyleInfo name="TableStyleMedium5" showFirstColumn="0" showLastColumn="0" showRowStripes="1" showColumnStripes="0"/>
</table>
</file>

<file path=xl/tables/table34.xml><?xml version="1.0" encoding="utf-8"?>
<table xmlns="http://schemas.openxmlformats.org/spreadsheetml/2006/main" id="93" name="Tabla879294" displayName="Tabla879294" ref="K157:M162" totalsRowShown="0" headerRowDxfId="623" dataDxfId="622">
  <autoFilter ref="K157:M162"/>
  <tableColumns count="3">
    <tableColumn id="1" name="Columna1" dataDxfId="621"/>
    <tableColumn id="2" name="Masa entrada [kg]" dataDxfId="620"/>
    <tableColumn id="3" name="Masa salida [kg]" dataDxfId="619"/>
  </tableColumns>
  <tableStyleInfo name="TableStyleMedium5" showFirstColumn="0" showLastColumn="0" showRowStripes="1" showColumnStripes="0"/>
</table>
</file>

<file path=xl/tables/table35.xml><?xml version="1.0" encoding="utf-8"?>
<table xmlns="http://schemas.openxmlformats.org/spreadsheetml/2006/main" id="27" name="Tabla27" displayName="Tabla27" ref="A15:F24" totalsRowShown="0" headerRowDxfId="618" dataDxfId="616" headerRowBorderDxfId="617" tableBorderDxfId="615" totalsRowBorderDxfId="614">
  <autoFilter ref="A15:F24"/>
  <tableColumns count="6">
    <tableColumn id="1" name="Propiedades" dataDxfId="613"/>
    <tableColumn id="2" name="Símbolo" dataDxfId="612"/>
    <tableColumn id="3" name="Unidades" dataDxfId="611"/>
    <tableColumn id="4" name="Magnitud" dataDxfId="610"/>
    <tableColumn id="5" name="Supuestos" dataDxfId="609"/>
    <tableColumn id="6" name="Bibliografía" dataDxfId="608"/>
  </tableColumns>
  <tableStyleInfo name="TableStyleMedium1" showFirstColumn="0" showLastColumn="0" showRowStripes="1" showColumnStripes="0"/>
</table>
</file>

<file path=xl/tables/table36.xml><?xml version="1.0" encoding="utf-8"?>
<table xmlns="http://schemas.openxmlformats.org/spreadsheetml/2006/main" id="28" name="Tabla28" displayName="Tabla28" ref="A26:F30" totalsRowShown="0" headerRowDxfId="607" dataDxfId="605" headerRowBorderDxfId="606" tableBorderDxfId="604" totalsRowBorderDxfId="603">
  <autoFilter ref="A26:F30"/>
  <tableColumns count="6">
    <tableColumn id="1" name="Dimensiones del equipo" dataDxfId="602"/>
    <tableColumn id="3" name="Símbolo"/>
    <tableColumn id="4" name="Magnitud" dataDxfId="601"/>
    <tableColumn id="5" name="Unidades" dataDxfId="600"/>
    <tableColumn id="6" name="Supuestos" dataDxfId="599"/>
    <tableColumn id="7" name="Bibliografía2" dataDxfId="598"/>
  </tableColumns>
  <tableStyleInfo name="TableStyleMedium1" showFirstColumn="0" showLastColumn="0" showRowStripes="1" showColumnStripes="0"/>
</table>
</file>

<file path=xl/tables/table37.xml><?xml version="1.0" encoding="utf-8"?>
<table xmlns="http://schemas.openxmlformats.org/spreadsheetml/2006/main" id="29" name="Tabla29" displayName="Tabla29" ref="A36:F40" totalsRowShown="0" headerRowDxfId="597" dataDxfId="595" headerRowBorderDxfId="596" tableBorderDxfId="594" totalsRowBorderDxfId="593">
  <autoFilter ref="A36:F40"/>
  <tableColumns count="6">
    <tableColumn id="1" name="Parámetros operacionales" dataDxfId="592"/>
    <tableColumn id="2" name="Símbolo" dataDxfId="591"/>
    <tableColumn id="3" name="Magnitud" dataDxfId="590"/>
    <tableColumn id="4" name="Unidades" dataDxfId="589"/>
    <tableColumn id="5" name="Supuestos " dataDxfId="588"/>
    <tableColumn id="6" name="Bbliografía" dataDxfId="587"/>
  </tableColumns>
  <tableStyleInfo name="TableStyleMedium2" showFirstColumn="0" showLastColumn="0" showRowStripes="1" showColumnStripes="0"/>
</table>
</file>

<file path=xl/tables/table38.xml><?xml version="1.0" encoding="utf-8"?>
<table xmlns="http://schemas.openxmlformats.org/spreadsheetml/2006/main" id="30" name="Tabla30" displayName="Tabla30" ref="A53:F57" totalsRowShown="0" headerRowDxfId="586" dataDxfId="584" headerRowBorderDxfId="585" tableBorderDxfId="583" totalsRowBorderDxfId="582">
  <autoFilter ref="A53:F57"/>
  <tableColumns count="6">
    <tableColumn id="1" name="Parámetros operacionales" dataDxfId="581"/>
    <tableColumn id="2" name="Símbolo" dataDxfId="580"/>
    <tableColumn id="3" name="Magnitud" dataDxfId="579"/>
    <tableColumn id="4" name="Unidades" dataDxfId="578"/>
    <tableColumn id="5" name="Supuestos " dataDxfId="577"/>
    <tableColumn id="6" name="Bbliografía" dataDxfId="576"/>
  </tableColumns>
  <tableStyleInfo name="TableStyleMedium3" showFirstColumn="0" showLastColumn="0" showRowStripes="1" showColumnStripes="0"/>
</table>
</file>

<file path=xl/tables/table39.xml><?xml version="1.0" encoding="utf-8"?>
<table xmlns="http://schemas.openxmlformats.org/spreadsheetml/2006/main" id="31" name="Tabla31" displayName="Tabla31" ref="A69:F73" totalsRowShown="0" headerRowDxfId="575" dataDxfId="573" headerRowBorderDxfId="574" tableBorderDxfId="572" totalsRowBorderDxfId="571">
  <autoFilter ref="A69:F73"/>
  <tableColumns count="6">
    <tableColumn id="1" name="Parámetros operacionales" dataDxfId="570"/>
    <tableColumn id="2" name="Símbolo" dataDxfId="569"/>
    <tableColumn id="3" name="Magnitud" dataDxfId="568"/>
    <tableColumn id="4" name="Unidades" dataDxfId="567"/>
    <tableColumn id="5" name="Supuestos " dataDxfId="566"/>
    <tableColumn id="6" name="Bbliografía" dataDxfId="565"/>
  </tableColumns>
  <tableStyleInfo name="TableStyleMedium5" showFirstColumn="0" showLastColumn="0" showRowStripes="1" showColumnStripes="0"/>
</table>
</file>

<file path=xl/tables/table4.xml><?xml version="1.0" encoding="utf-8"?>
<table xmlns="http://schemas.openxmlformats.org/spreadsheetml/2006/main" id="113" name="Tabla10114" displayName="Tabla10114" ref="A16:E19" totalsRowShown="0" headerRowDxfId="831" headerRowBorderDxfId="830" tableBorderDxfId="829" totalsRowBorderDxfId="828">
  <autoFilter ref="A16:E19"/>
  <tableColumns count="5">
    <tableColumn id="1" name="Propiedades" dataDxfId="827"/>
    <tableColumn id="6" name="Símbolo " dataDxfId="826"/>
    <tableColumn id="7" name="Magnitud" dataDxfId="825"/>
    <tableColumn id="8" name="Unidades" dataDxfId="824"/>
    <tableColumn id="9" name="Bibliografía" dataDxfId="823"/>
  </tableColumns>
  <tableStyleInfo name="TableStyleMedium1" showFirstColumn="0" showLastColumn="0" showRowStripes="1" showColumnStripes="0"/>
</table>
</file>

<file path=xl/tables/table40.xml><?xml version="1.0" encoding="utf-8"?>
<table xmlns="http://schemas.openxmlformats.org/spreadsheetml/2006/main" id="32" name="Tabla32" displayName="Tabla32" ref="H36:M39" totalsRowShown="0" headerRowDxfId="564" dataDxfId="562" headerRowBorderDxfId="563" tableBorderDxfId="561" totalsRowBorderDxfId="560">
  <autoFilter ref="H36:M39"/>
  <tableColumns count="6">
    <tableColumn id="1" name="Flujos balance de masa" dataDxfId="559"/>
    <tableColumn id="2" name="Símbolo" dataDxfId="558"/>
    <tableColumn id="3" name="Magnitud" dataDxfId="557"/>
    <tableColumn id="4" name="Unidades" dataDxfId="556"/>
    <tableColumn id="5" name="Concentración de sólidos inertes (Cs) [g/L]" dataDxfId="555"/>
    <tableColumn id="6" name="Concentración de azucares fermentables(CAZ) [g/L]" dataDxfId="554"/>
  </tableColumns>
  <tableStyleInfo name="TableStyleMedium2" showFirstColumn="0" showLastColumn="0" showRowStripes="1" showColumnStripes="0"/>
</table>
</file>

<file path=xl/tables/table41.xml><?xml version="1.0" encoding="utf-8"?>
<table xmlns="http://schemas.openxmlformats.org/spreadsheetml/2006/main" id="33" name="Tabla33" displayName="Tabla33" ref="H43:J48" totalsRowShown="0" headerRowDxfId="553" headerRowBorderDxfId="552" tableBorderDxfId="551" totalsRowBorderDxfId="550">
  <autoFilter ref="H43:J48"/>
  <tableColumns count="3">
    <tableColumn id="1" name="Balance de masa mosto"/>
    <tableColumn id="2" name="Columna1" dataDxfId="549"/>
    <tableColumn id="3" name="Error%" dataDxfId="548"/>
  </tableColumns>
  <tableStyleInfo name="TableStyleMedium2" showFirstColumn="0" showLastColumn="0" showRowStripes="1" showColumnStripes="0"/>
</table>
</file>

<file path=xl/tables/table42.xml><?xml version="1.0" encoding="utf-8"?>
<table xmlns="http://schemas.openxmlformats.org/spreadsheetml/2006/main" id="34" name="Tabla34" displayName="Tabla34" ref="H53:M56" totalsRowShown="0" headerRowDxfId="547" headerRowBorderDxfId="546" tableBorderDxfId="545" totalsRowBorderDxfId="544">
  <autoFilter ref="H53:M56"/>
  <tableColumns count="6">
    <tableColumn id="1" name="Flujos balance de masa" dataDxfId="543"/>
    <tableColumn id="2" name="Símbolo" dataDxfId="542"/>
    <tableColumn id="3" name="Magnitud" dataDxfId="541"/>
    <tableColumn id="4" name="Unidades" dataDxfId="540"/>
    <tableColumn id="5" name="Concentración de sólidos inertes (Cs) [g/L]" dataDxfId="539"/>
    <tableColumn id="6" name="Concentración de azucares fermentables(CAZ) [g/L]" dataDxfId="538">
      <calculatedColumnFormula>('Reactor Batch 1'!M136+'Reactor Batch 1'!M137)*1000/'Reactor Batch 1'!C151</calculatedColumnFormula>
    </tableColumn>
  </tableColumns>
  <tableStyleInfo name="TableStyleMedium3" showFirstColumn="0" showLastColumn="0" showRowStripes="1" showColumnStripes="0"/>
</table>
</file>

<file path=xl/tables/table43.xml><?xml version="1.0" encoding="utf-8"?>
<table xmlns="http://schemas.openxmlformats.org/spreadsheetml/2006/main" id="35" name="Tabla35" displayName="Tabla35" ref="H60:J65" totalsRowShown="0" headerRowDxfId="537">
  <autoFilter ref="H60:J65"/>
  <tableColumns count="3">
    <tableColumn id="1" name="Balance de masa mosto" dataDxfId="536"/>
    <tableColumn id="2" name="Columna1" dataDxfId="535"/>
    <tableColumn id="3" name="Error%" dataDxfId="534"/>
  </tableColumns>
  <tableStyleInfo name="TableStyleMedium3" showFirstColumn="0" showLastColumn="0" showRowStripes="1" showColumnStripes="0"/>
</table>
</file>

<file path=xl/tables/table44.xml><?xml version="1.0" encoding="utf-8"?>
<table xmlns="http://schemas.openxmlformats.org/spreadsheetml/2006/main" id="36" name="Tabla36" displayName="Tabla36" ref="H69:M72" totalsRowShown="0" headerRowDxfId="533" headerRowBorderDxfId="532" tableBorderDxfId="531" totalsRowBorderDxfId="530">
  <autoFilter ref="H69:M72"/>
  <tableColumns count="6">
    <tableColumn id="1" name="Flujos balance de masa" dataDxfId="529"/>
    <tableColumn id="2" name="Símbolo" dataDxfId="528"/>
    <tableColumn id="3" name="Magnitud" dataDxfId="527"/>
    <tableColumn id="4" name="Unidades" dataDxfId="526"/>
    <tableColumn id="5" name="Concentración de sólidos inertes (Cs) [g/L]" dataDxfId="525"/>
    <tableColumn id="6" name="Concentración de azucares fermentables(CAZ) [g/L]"/>
  </tableColumns>
  <tableStyleInfo name="TableStyleMedium5" showFirstColumn="0" showLastColumn="0" showRowStripes="1" showColumnStripes="0"/>
</table>
</file>

<file path=xl/tables/table45.xml><?xml version="1.0" encoding="utf-8"?>
<table xmlns="http://schemas.openxmlformats.org/spreadsheetml/2006/main" id="37" name="Tabla37" displayName="Tabla37" ref="H76:J81" totalsRowShown="0" headerRowDxfId="524">
  <autoFilter ref="H76:J81"/>
  <tableColumns count="3">
    <tableColumn id="1" name="Balance de masa mosto" dataDxfId="523"/>
    <tableColumn id="2" name="Columna1" dataDxfId="522"/>
    <tableColumn id="3" name="Error%" dataDxfId="521"/>
  </tableColumns>
  <tableStyleInfo name="TableStyleMedium5" showFirstColumn="0" showLastColumn="0" showRowStripes="1" showColumnStripes="0"/>
</table>
</file>

<file path=xl/tables/table46.xml><?xml version="1.0" encoding="utf-8"?>
<table xmlns="http://schemas.openxmlformats.org/spreadsheetml/2006/main" id="39" name="Tabla39" displayName="Tabla39" ref="L43:M44" totalsRowShown="0" headerRowDxfId="520" dataDxfId="519" tableBorderDxfId="518">
  <autoFilter ref="L43:M44"/>
  <tableColumns count="2">
    <tableColumn id="1" name="Masa de sólido Acumulada [kg]" dataDxfId="517">
      <calculatedColumnFormula>L39*J39*C38/1000</calculatedColumnFormula>
    </tableColumn>
    <tableColumn id="2" name="Masa de mosto acumulada [kg]" dataDxfId="516">
      <calculatedColumnFormula>J39*C38*D16/1000</calculatedColumnFormula>
    </tableColumn>
  </tableColumns>
  <tableStyleInfo name="TableStyleMedium2" showFirstColumn="0" showLastColumn="0" showRowStripes="1" showColumnStripes="0"/>
</table>
</file>

<file path=xl/tables/table47.xml><?xml version="1.0" encoding="utf-8"?>
<table xmlns="http://schemas.openxmlformats.org/spreadsheetml/2006/main" id="40" name="Tabla3941" displayName="Tabla3941" ref="L60:M61" totalsRowShown="0" headerRowDxfId="515" dataDxfId="513" headerRowBorderDxfId="514" tableBorderDxfId="512" totalsRowBorderDxfId="511">
  <autoFilter ref="L60:M61"/>
  <tableColumns count="2">
    <tableColumn id="1" name="Masa de sólido Acumulada [kg]" dataDxfId="510">
      <calculatedColumnFormula>L56*J56*C55/1000</calculatedColumnFormula>
    </tableColumn>
    <tableColumn id="2" name="Masa de mosto acumulada [kg]" dataDxfId="509">
      <calculatedColumnFormula>J56*C55*D17/1000</calculatedColumnFormula>
    </tableColumn>
  </tableColumns>
  <tableStyleInfo name="TableStyleMedium3" showFirstColumn="0" showLastColumn="0" showRowStripes="1" showColumnStripes="0"/>
</table>
</file>

<file path=xl/tables/table48.xml><?xml version="1.0" encoding="utf-8"?>
<table xmlns="http://schemas.openxmlformats.org/spreadsheetml/2006/main" id="41" name="Tabla394142" displayName="Tabla394142" ref="L76:M77" totalsRowShown="0" headerRowDxfId="508" dataDxfId="506" headerRowBorderDxfId="507" tableBorderDxfId="505" totalsRowBorderDxfId="504">
  <autoFilter ref="L76:M77"/>
  <tableColumns count="2">
    <tableColumn id="1" name="Masa de sólido Acumulada [kg] (Cs)" dataDxfId="503">
      <calculatedColumnFormula>L72*J72*C71/1000</calculatedColumnFormula>
    </tableColumn>
    <tableColumn id="2" name="Masa de mosto acumulada [kg] (Mh)" dataDxfId="502">
      <calculatedColumnFormula>J72*C71*D18/1000</calculatedColumnFormula>
    </tableColumn>
  </tableColumns>
  <tableStyleInfo name="TableStyleMedium5" showFirstColumn="0" showLastColumn="0" showRowStripes="1" showColumnStripes="0"/>
</table>
</file>

<file path=xl/tables/table49.xml><?xml version="1.0" encoding="utf-8"?>
<table xmlns="http://schemas.openxmlformats.org/spreadsheetml/2006/main" id="43" name="Tabla43" displayName="Tabla43" ref="B16:K22" totalsRowShown="0" headerRowDxfId="501" dataDxfId="499" headerRowBorderDxfId="500" tableBorderDxfId="498" totalsRowBorderDxfId="497">
  <autoFilter ref="B16:K22"/>
  <tableColumns count="10">
    <tableColumn id="1" name="Datos" dataDxfId="496"/>
    <tableColumn id="2" name="Símbolo" dataDxfId="495"/>
    <tableColumn id="3" name="Magnitud" dataDxfId="494"/>
    <tableColumn id="4" name="Unidad" dataDxfId="493"/>
    <tableColumn id="5" name="Concentración de azucares fermentables(CAZ) [g/L]" dataDxfId="492"/>
    <tableColumn id="6" name="Concentración de sólidos inertes (Cs) [g/L]" dataDxfId="491"/>
    <tableColumn id="7" name="Concentración de Lúpulo[g/L]" dataDxfId="490"/>
    <tableColumn id="8" name="Concentración final sólidos residuales (lúpulo+Sólidos inertes) (g/L)" dataDxfId="489"/>
    <tableColumn id="9" name="Supuesto" dataDxfId="488"/>
    <tableColumn id="10" name="Bibliografía" dataDxfId="487"/>
  </tableColumns>
  <tableStyleInfo name="TableStyleMedium2" showFirstColumn="0" showLastColumn="0" showRowStripes="1" showColumnStripes="0"/>
</table>
</file>

<file path=xl/tables/table5.xml><?xml version="1.0" encoding="utf-8"?>
<table xmlns="http://schemas.openxmlformats.org/spreadsheetml/2006/main" id="114" name="Tabla38115" displayName="Tabla38115" ref="A21:E29" totalsRowShown="0" headerRowDxfId="822" headerRowBorderDxfId="821" tableBorderDxfId="820" totalsRowBorderDxfId="819">
  <autoFilter ref="A21:E29"/>
  <tableColumns count="5">
    <tableColumn id="1" name="Dimensiones del equipo" dataDxfId="818"/>
    <tableColumn id="6" name="Símbolo" dataDxfId="817"/>
    <tableColumn id="7" name="Magnitud" dataDxfId="816"/>
    <tableColumn id="8" name="Unidades" dataDxfId="815"/>
    <tableColumn id="9" name="Bibliografía" dataDxfId="814"/>
  </tableColumns>
  <tableStyleInfo name="TableStyleMedium1" showFirstColumn="0" showLastColumn="0" showRowStripes="1" showColumnStripes="0"/>
</table>
</file>

<file path=xl/tables/table50.xml><?xml version="1.0" encoding="utf-8"?>
<table xmlns="http://schemas.openxmlformats.org/spreadsheetml/2006/main" id="44" name="Tabla44" displayName="Tabla44" ref="B26:D31" totalsRowShown="0" headerRowBorderDxfId="486" tableBorderDxfId="485" totalsRowBorderDxfId="484">
  <autoFilter ref="B26:D31"/>
  <tableColumns count="3">
    <tableColumn id="1" name="Balances de masa Mosto" dataDxfId="483"/>
    <tableColumn id="2" name="Cálculo" dataDxfId="482"/>
    <tableColumn id="3" name="Error%" dataDxfId="481"/>
  </tableColumns>
  <tableStyleInfo name="TableStyleMedium2" showFirstColumn="0" showLastColumn="0" showRowStripes="1" showColumnStripes="0"/>
</table>
</file>

<file path=xl/tables/table51.xml><?xml version="1.0" encoding="utf-8"?>
<table xmlns="http://schemas.openxmlformats.org/spreadsheetml/2006/main" id="45" name="Tabla45" displayName="Tabla45" ref="F26:G27" totalsRowShown="0" headerRowDxfId="480" dataDxfId="478" headerRowBorderDxfId="479" tableBorderDxfId="477" totalsRowBorderDxfId="476">
  <autoFilter ref="F26:G27"/>
  <tableColumns count="2">
    <tableColumn id="1" name="Masa de sólido eliminada [kg]" dataDxfId="475">
      <calculatedColumnFormula>I21*D21/1000</calculatedColumnFormula>
    </tableColumn>
    <tableColumn id="2" name="Masa de agua eliminada [kg]" dataDxfId="474">
      <calculatedColumnFormula>D18</calculatedColumnFormula>
    </tableColumn>
  </tableColumns>
  <tableStyleInfo name="TableStyleMedium2" showFirstColumn="0" showLastColumn="0" showRowStripes="1" showColumnStripes="0"/>
</table>
</file>

<file path=xl/tables/table52.xml><?xml version="1.0" encoding="utf-8"?>
<table xmlns="http://schemas.openxmlformats.org/spreadsheetml/2006/main" id="46" name="Tabla46" displayName="Tabla46" ref="B35:K41" totalsRowShown="0" headerRowDxfId="473" dataDxfId="471" headerRowBorderDxfId="472" tableBorderDxfId="470" totalsRowBorderDxfId="469">
  <autoFilter ref="B35:K41"/>
  <tableColumns count="10">
    <tableColumn id="1" name="Datos" dataDxfId="468"/>
    <tableColumn id="2" name="Símbolo" dataDxfId="467"/>
    <tableColumn id="3" name="Magnitud" dataDxfId="466"/>
    <tableColumn id="4" name="Unidad" dataDxfId="465"/>
    <tableColumn id="5" name="Concentración de azucares fermentables(CA) [g/L]" dataDxfId="464"/>
    <tableColumn id="6" name="Concentración de sólidos inertes (Cs) [g/L]" dataDxfId="463"/>
    <tableColumn id="7" name="Concentración de Lúpulo[g/L]" dataDxfId="462"/>
    <tableColumn id="8" name="Concentración final sólidos residuales (lúpulo+Sólidos inertes) (g/L)" dataDxfId="461"/>
    <tableColumn id="9" name="Supuesto" dataDxfId="460"/>
    <tableColumn id="10" name="Bibliografía" dataDxfId="459"/>
  </tableColumns>
  <tableStyleInfo name="TableStyleMedium3" showFirstColumn="0" showLastColumn="0" showRowStripes="1" showColumnStripes="0"/>
</table>
</file>

<file path=xl/tables/table53.xml><?xml version="1.0" encoding="utf-8"?>
<table xmlns="http://schemas.openxmlformats.org/spreadsheetml/2006/main" id="47" name="Tabla47" displayName="Tabla47" ref="B45:D50" totalsRowShown="0" headerRowBorderDxfId="458" tableBorderDxfId="457" totalsRowBorderDxfId="456">
  <autoFilter ref="B45:D50"/>
  <tableColumns count="3">
    <tableColumn id="1" name="Balances de masa Mosto" dataDxfId="455"/>
    <tableColumn id="2" name="Cálculo" dataDxfId="454"/>
    <tableColumn id="3" name="Error%" dataDxfId="453"/>
  </tableColumns>
  <tableStyleInfo name="TableStyleMedium3" showFirstColumn="0" showLastColumn="0" showRowStripes="1" showColumnStripes="0"/>
</table>
</file>

<file path=xl/tables/table54.xml><?xml version="1.0" encoding="utf-8"?>
<table xmlns="http://schemas.openxmlformats.org/spreadsheetml/2006/main" id="48" name="Tabla48" displayName="Tabla48" ref="F45:G46" totalsRowShown="0" headerRowDxfId="452" dataDxfId="450" headerRowBorderDxfId="451" tableBorderDxfId="449" totalsRowBorderDxfId="448">
  <autoFilter ref="F45:G46"/>
  <tableColumns count="2">
    <tableColumn id="1" name="Masa de sólido eliminada [kg]" dataDxfId="447">
      <calculatedColumnFormula>I40*D40/1000</calculatedColumnFormula>
    </tableColumn>
    <tableColumn id="2" name="Masa de agua eliminada [kg]" dataDxfId="446">
      <calculatedColumnFormula>D37</calculatedColumnFormula>
    </tableColumn>
  </tableColumns>
  <tableStyleInfo name="TableStyleMedium3" showFirstColumn="0" showLastColumn="0" showRowStripes="1" showColumnStripes="0"/>
</table>
</file>

<file path=xl/tables/table55.xml><?xml version="1.0" encoding="utf-8"?>
<table xmlns="http://schemas.openxmlformats.org/spreadsheetml/2006/main" id="49" name="Tabla49" displayName="Tabla49" ref="B54:K60" totalsRowShown="0" headerRowDxfId="445" headerRowBorderDxfId="444" tableBorderDxfId="443" totalsRowBorderDxfId="442">
  <autoFilter ref="B54:K60"/>
  <tableColumns count="10">
    <tableColumn id="1" name="Datos" dataDxfId="441"/>
    <tableColumn id="2" name="Símbolo" dataDxfId="440"/>
    <tableColumn id="3" name="Magnitud" dataDxfId="439"/>
    <tableColumn id="4" name="Unidad" dataDxfId="438"/>
    <tableColumn id="5" name="Concentración de azucares fermentables(CA) [g/L]" dataDxfId="437"/>
    <tableColumn id="6" name="Concentración de sólidos inertes (Cs) [g/L]" dataDxfId="436"/>
    <tableColumn id="7" name="Concentración de Lúpulo[g/L]" dataDxfId="435"/>
    <tableColumn id="8" name="Concentración final sólidos residuales (lúpulo+Sólidos inertes) (g/L)" dataDxfId="434"/>
    <tableColumn id="9" name="Supuesto" dataDxfId="433"/>
    <tableColumn id="10" name="Bibliografía" dataDxfId="432"/>
  </tableColumns>
  <tableStyleInfo name="TableStyleMedium5" showFirstColumn="0" showLastColumn="0" showRowStripes="1" showColumnStripes="0"/>
</table>
</file>

<file path=xl/tables/table56.xml><?xml version="1.0" encoding="utf-8"?>
<table xmlns="http://schemas.openxmlformats.org/spreadsheetml/2006/main" id="50" name="Tabla50" displayName="Tabla50" ref="B64:D69" totalsRowShown="0" headerRowBorderDxfId="431" tableBorderDxfId="430" totalsRowBorderDxfId="429">
  <autoFilter ref="B64:D69"/>
  <tableColumns count="3">
    <tableColumn id="1" name="Balances de masa Mosto" dataDxfId="428"/>
    <tableColumn id="2" name="Columna1" dataDxfId="427"/>
    <tableColumn id="3" name="Error%" dataDxfId="426"/>
  </tableColumns>
  <tableStyleInfo name="TableStyleMedium5" showFirstColumn="0" showLastColumn="0" showRowStripes="1" showColumnStripes="0"/>
</table>
</file>

<file path=xl/tables/table57.xml><?xml version="1.0" encoding="utf-8"?>
<table xmlns="http://schemas.openxmlformats.org/spreadsheetml/2006/main" id="51" name="Tabla51" displayName="Tabla51" ref="F64:G65" totalsRowShown="0" headerRowBorderDxfId="425" tableBorderDxfId="424" totalsRowBorderDxfId="423">
  <autoFilter ref="F64:G65"/>
  <tableColumns count="2">
    <tableColumn id="1" name="Masa de sólido eliminada [kg]" dataDxfId="422">
      <calculatedColumnFormula>I59*D59/1000</calculatedColumnFormula>
    </tableColumn>
    <tableColumn id="2" name="Masa de agua eliminada [kg]" dataDxfId="421">
      <calculatedColumnFormula>D56</calculatedColumnFormula>
    </tableColumn>
  </tableColumns>
  <tableStyleInfo name="TableStyleMedium5" showFirstColumn="0" showLastColumn="0" showRowStripes="1" showColumnStripes="0"/>
</table>
</file>

<file path=xl/tables/table58.xml><?xml version="1.0" encoding="utf-8"?>
<table xmlns="http://schemas.openxmlformats.org/spreadsheetml/2006/main" id="63" name="Tabla63" displayName="Tabla63" ref="A23:F33" totalsRowShown="0" headerRowDxfId="420" dataDxfId="418" headerRowBorderDxfId="419" tableBorderDxfId="417" totalsRowBorderDxfId="416">
  <autoFilter ref="A23:F33"/>
  <tableColumns count="6">
    <tableColumn id="1" name="Propiedades" dataDxfId="415"/>
    <tableColumn id="6" name="Símbolo " dataDxfId="414"/>
    <tableColumn id="7" name="Columna1" dataDxfId="413"/>
    <tableColumn id="8" name="Magnitud" dataDxfId="412"/>
    <tableColumn id="9" name="Supuestos" dataDxfId="411"/>
    <tableColumn id="10" name="Bibliografía" dataDxfId="410"/>
  </tableColumns>
  <tableStyleInfo name="TableStyleMedium1" showFirstColumn="0" showLastColumn="0" showRowStripes="1" showColumnStripes="0"/>
</table>
</file>

<file path=xl/tables/table59.xml><?xml version="1.0" encoding="utf-8"?>
<table xmlns="http://schemas.openxmlformats.org/spreadsheetml/2006/main" id="64" name="Tabla64" displayName="Tabla64" ref="A34:E41" totalsRowShown="0" headerRowDxfId="409" dataDxfId="407" headerRowBorderDxfId="408" tableBorderDxfId="406" totalsRowBorderDxfId="405">
  <autoFilter ref="A34:E41"/>
  <tableColumns count="5">
    <tableColumn id="1" name="Dimensiones del equipo" dataDxfId="404"/>
    <tableColumn id="6" name="Símbolo" dataDxfId="403"/>
    <tableColumn id="7" name="Unidades" dataDxfId="402"/>
    <tableColumn id="8" name="Magnitud" dataDxfId="401"/>
    <tableColumn id="9" name="Bibliografía" dataDxfId="400"/>
  </tableColumns>
  <tableStyleInfo name="TableStyleMedium1" showFirstColumn="0" showLastColumn="0" showRowStripes="1" showColumnStripes="0"/>
</table>
</file>

<file path=xl/tables/table6.xml><?xml version="1.0" encoding="utf-8"?>
<table xmlns="http://schemas.openxmlformats.org/spreadsheetml/2006/main" id="115" name="Tabla42116" displayName="Tabla42116" ref="A31:E34" totalsRowShown="0" headerRowDxfId="813" dataDxfId="811" headerRowBorderDxfId="812" tableBorderDxfId="810" totalsRowBorderDxfId="809">
  <autoFilter ref="A31:E34"/>
  <tableColumns count="5">
    <tableColumn id="1" name="Parámetros operacionales" dataDxfId="808"/>
    <tableColumn id="6" name="Símbolo"/>
    <tableColumn id="7" name="Magnitud" dataDxfId="807"/>
    <tableColumn id="8" name="Unidades" dataDxfId="806"/>
    <tableColumn id="9" name="Supuestos " dataDxfId="805"/>
  </tableColumns>
  <tableStyleInfo name="TableStyleMedium1" showFirstColumn="0" showLastColumn="0" showRowStripes="1" showColumnStripes="0"/>
</table>
</file>

<file path=xl/tables/table60.xml><?xml version="1.0" encoding="utf-8"?>
<table xmlns="http://schemas.openxmlformats.org/spreadsheetml/2006/main" id="65" name="Tabla65" displayName="Tabla65" ref="A43:F48" totalsRowShown="0" headerRowDxfId="399" dataDxfId="397" headerRowBorderDxfId="398" tableBorderDxfId="396" totalsRowBorderDxfId="395">
  <autoFilter ref="A43:F48"/>
  <tableColumns count="6">
    <tableColumn id="1" name="Parámetros operacionales" dataDxfId="394"/>
    <tableColumn id="6" name="Símbolo" dataDxfId="393"/>
    <tableColumn id="7" name="Unidades" dataDxfId="392"/>
    <tableColumn id="8" name="Magnitud" dataDxfId="391"/>
    <tableColumn id="9" name="Supuestos " dataDxfId="390"/>
    <tableColumn id="10" name="Bbliografía" dataDxfId="389"/>
  </tableColumns>
  <tableStyleInfo name="TableStyleMedium1" showFirstColumn="0" showLastColumn="0" showRowStripes="1" showColumnStripes="0"/>
</table>
</file>

<file path=xl/tables/table61.xml><?xml version="1.0" encoding="utf-8"?>
<table xmlns="http://schemas.openxmlformats.org/spreadsheetml/2006/main" id="66" name="Tabla66" displayName="Tabla66" ref="A51:F55" totalsRowShown="0" headerRowDxfId="388" dataDxfId="386" headerRowBorderDxfId="387" tableBorderDxfId="385" totalsRowBorderDxfId="384">
  <autoFilter ref="A51:F55"/>
  <tableColumns count="6">
    <tableColumn id="1" name="Adimensionales calculados" dataDxfId="383"/>
    <tableColumn id="6" name="Símbolo" dataDxfId="382"/>
    <tableColumn id="7" name="Unidades" dataDxfId="381"/>
    <tableColumn id="8" name="Magnitud" dataDxfId="380"/>
    <tableColumn id="9" name="Ecuación" dataDxfId="379"/>
    <tableColumn id="10" name="Bibliografía" dataDxfId="378"/>
  </tableColumns>
  <tableStyleInfo name="TableStyleMedium1" showFirstColumn="0" showLastColumn="0" showRowStripes="1" showColumnStripes="0"/>
</table>
</file>

<file path=xl/tables/table62.xml><?xml version="1.0" encoding="utf-8"?>
<table xmlns="http://schemas.openxmlformats.org/spreadsheetml/2006/main" id="67" name="Tabla67" displayName="Tabla67" ref="A58:G67" totalsRowShown="0" headerRowDxfId="377" dataDxfId="375" headerRowBorderDxfId="376" tableBorderDxfId="374" totalsRowBorderDxfId="373">
  <autoFilter ref="A58:G67"/>
  <tableColumns count="7">
    <tableColumn id="1" name="Parámetros calculados" dataDxfId="372"/>
    <tableColumn id="6" name="Símbolo" dataDxfId="371"/>
    <tableColumn id="7" name="Unidades" dataDxfId="370"/>
    <tableColumn id="8" name="Magnitud" dataDxfId="369"/>
    <tableColumn id="9" name="Ecuación" dataDxfId="368"/>
    <tableColumn id="10" name="Supuestos" dataDxfId="367"/>
    <tableColumn id="11" name="Bibliografía" dataDxfId="366"/>
  </tableColumns>
  <tableStyleInfo name="TableStyleMedium1" showFirstColumn="0" showLastColumn="0" showRowStripes="1" showColumnStripes="0"/>
</table>
</file>

<file path=xl/tables/table63.xml><?xml version="1.0" encoding="utf-8"?>
<table xmlns="http://schemas.openxmlformats.org/spreadsheetml/2006/main" id="68" name="Tabla68" displayName="Tabla68" ref="B14:F18" totalsRowShown="0" headerRowDxfId="365" dataDxfId="364">
  <autoFilter ref="B14:F18"/>
  <tableColumns count="5">
    <tableColumn id="1" name="Flujos" dataDxfId="363"/>
    <tableColumn id="2" name="Símbolo" dataDxfId="362"/>
    <tableColumn id="3" name="Flujo volumétrico [m^3/s]" dataDxfId="361"/>
    <tableColumn id="4" name="Flujo másico [kg/s]" dataDxfId="360"/>
    <tableColumn id="5" name="Temperatura [C]" dataDxfId="359"/>
  </tableColumns>
  <tableStyleInfo name="TableStyleMedium1" showFirstColumn="0" showLastColumn="0" showRowStripes="1" showColumnStripes="0"/>
</table>
</file>

<file path=xl/tables/table64.xml><?xml version="1.0" encoding="utf-8"?>
<table xmlns="http://schemas.openxmlformats.org/spreadsheetml/2006/main" id="53" name="Tabla53" displayName="Tabla53" ref="C14:E17" totalsRowShown="0" headerRowDxfId="358" headerRowBorderDxfId="357" tableBorderDxfId="356" totalsRowBorderDxfId="355">
  <autoFilter ref="C14:E17"/>
  <tableColumns count="3">
    <tableColumn id="1" name="Entradas [kg]" dataDxfId="354"/>
    <tableColumn id="2" name="Salidas [kg]" dataDxfId="353">
      <calculatedColumnFormula>C15-E15</calculatedColumnFormula>
    </tableColumn>
    <tableColumn id="3" name="Pérdidas [kg]" dataDxfId="352">
      <calculatedColumnFormula>Tabla53[[#This Row],[Entradas '[kg']]]</calculatedColumnFormula>
    </tableColumn>
  </tableColumns>
  <tableStyleInfo name="TableStyleMedium2" showFirstColumn="0" showLastColumn="0" showRowStripes="1" showColumnStripes="0"/>
</table>
</file>

<file path=xl/tables/table65.xml><?xml version="1.0" encoding="utf-8"?>
<table xmlns="http://schemas.openxmlformats.org/spreadsheetml/2006/main" id="54" name="Tabla54" displayName="Tabla54" ref="B20:C22" totalsRowShown="0" headerRowBorderDxfId="351" tableBorderDxfId="350" totalsRowBorderDxfId="349">
  <autoFilter ref="B20:C22"/>
  <tableColumns count="2">
    <tableColumn id="1" name="Supuestos considerados" dataDxfId="348"/>
    <tableColumn id="2" name="Magnitud" dataDxfId="347">
      <calculatedColumnFormula>15%</calculatedColumnFormula>
    </tableColumn>
  </tableColumns>
  <tableStyleInfo name="TableStyleMedium2" showFirstColumn="0" showLastColumn="0" showRowStripes="1" showColumnStripes="0"/>
</table>
</file>

<file path=xl/tables/table66.xml><?xml version="1.0" encoding="utf-8"?>
<table xmlns="http://schemas.openxmlformats.org/spreadsheetml/2006/main" id="55" name="Tabla55" displayName="Tabla55" ref="C25:E28" totalsRowShown="0" headerRowDxfId="346" dataDxfId="344" headerRowBorderDxfId="345" tableBorderDxfId="343" totalsRowBorderDxfId="342">
  <autoFilter ref="C25:E28"/>
  <tableColumns count="3">
    <tableColumn id="1" name="Entradas [kg]" dataDxfId="341"/>
    <tableColumn id="2" name="Salidas[kg]" dataDxfId="340"/>
    <tableColumn id="3" name="Pérdidas [kg]" dataDxfId="339"/>
  </tableColumns>
  <tableStyleInfo name="TableStyleMedium3" showFirstColumn="0" showLastColumn="0" showRowStripes="1" showColumnStripes="0"/>
</table>
</file>

<file path=xl/tables/table67.xml><?xml version="1.0" encoding="utf-8"?>
<table xmlns="http://schemas.openxmlformats.org/spreadsheetml/2006/main" id="57" name="Tabla57" displayName="Tabla57" ref="G14:G15" totalsRowShown="0" dataDxfId="337" headerRowBorderDxfId="338" tableBorderDxfId="336" totalsRowBorderDxfId="335">
  <autoFilter ref="G14:G15"/>
  <tableColumns count="1">
    <tableColumn id="1" name="Volumen Mosto Final [L]" dataDxfId="334">
      <calculatedColumnFormula>D17/Cocción!D20</calculatedColumnFormula>
    </tableColumn>
  </tableColumns>
  <tableStyleInfo name="TableStyleMedium2" showFirstColumn="0" showLastColumn="0" showRowStripes="1" showColumnStripes="0"/>
</table>
</file>

<file path=xl/tables/table68.xml><?xml version="1.0" encoding="utf-8"?>
<table xmlns="http://schemas.openxmlformats.org/spreadsheetml/2006/main" id="58" name="Tabla58" displayName="Tabla58" ref="B31:C33" totalsRowShown="0" headerRowDxfId="333" headerRowBorderDxfId="332" tableBorderDxfId="331" totalsRowBorderDxfId="330">
  <autoFilter ref="B31:C33"/>
  <tableColumns count="2">
    <tableColumn id="1" name="Supuestos considerados " dataDxfId="329"/>
    <tableColumn id="2" name="Magnitud" dataDxfId="328"/>
  </tableColumns>
  <tableStyleInfo name="TableStyleMedium3" showFirstColumn="0" showLastColumn="0" showRowStripes="1" showColumnStripes="0"/>
</table>
</file>

<file path=xl/tables/table69.xml><?xml version="1.0" encoding="utf-8"?>
<table xmlns="http://schemas.openxmlformats.org/spreadsheetml/2006/main" id="59" name="Tabla59" displayName="Tabla59" ref="G25:G26" totalsRowShown="0" headerRowDxfId="327" dataDxfId="326">
  <autoFilter ref="G25:G26"/>
  <tableColumns count="1">
    <tableColumn id="1" name="Volumen Mosto Final [L]" dataDxfId="325">
      <calculatedColumnFormula>D28/Cocción!D39</calculatedColumnFormula>
    </tableColumn>
  </tableColumns>
  <tableStyleInfo name="TableStyleMedium3" showFirstColumn="0" showLastColumn="0" showRowStripes="1" showColumnStripes="0"/>
</table>
</file>

<file path=xl/tables/table7.xml><?xml version="1.0" encoding="utf-8"?>
<table xmlns="http://schemas.openxmlformats.org/spreadsheetml/2006/main" id="116" name="Tabla56117" displayName="Tabla56117" ref="A37:F38" totalsRowShown="0" headerRowDxfId="804" dataDxfId="802" headerRowBorderDxfId="803" tableBorderDxfId="801" totalsRowBorderDxfId="800">
  <autoFilter ref="A37:F38"/>
  <tableColumns count="6">
    <tableColumn id="1" name="Adimensionales calculados" dataDxfId="799"/>
    <tableColumn id="6" name="Símbolo" dataDxfId="798"/>
    <tableColumn id="7" name="Magnitud" dataDxfId="797">
      <calculatedColumnFormula>(C43*C27)/(60*C17)</calculatedColumnFormula>
    </tableColumn>
    <tableColumn id="8" name="Unidades" dataDxfId="796"/>
    <tableColumn id="9" name="Ecuación" dataDxfId="795"/>
    <tableColumn id="10" name="Bibliografía" dataDxfId="794"/>
  </tableColumns>
  <tableStyleInfo name="TableStyleMedium1" showFirstColumn="0" showLastColumn="0" showRowStripes="1" showColumnStripes="0"/>
</table>
</file>

<file path=xl/tables/table70.xml><?xml version="1.0" encoding="utf-8"?>
<table xmlns="http://schemas.openxmlformats.org/spreadsheetml/2006/main" id="60" name="Tabla60" displayName="Tabla60" ref="C36:E39" totalsRowShown="0" headerRowBorderDxfId="324" tableBorderDxfId="323" totalsRowBorderDxfId="322">
  <autoFilter ref="C36:E39"/>
  <tableColumns count="3">
    <tableColumn id="1" name="Entrada [kg]" dataDxfId="321"/>
    <tableColumn id="2" name="Salida [kg]" dataDxfId="320"/>
    <tableColumn id="3" name="Pérdidas [kg]" dataDxfId="319"/>
  </tableColumns>
  <tableStyleInfo name="TableStyleMedium5" showFirstColumn="0" showLastColumn="0" showRowStripes="1" showColumnStripes="0"/>
</table>
</file>

<file path=xl/tables/table71.xml><?xml version="1.0" encoding="utf-8"?>
<table xmlns="http://schemas.openxmlformats.org/spreadsheetml/2006/main" id="61" name="Tabla61" displayName="Tabla61" ref="B42:C44" totalsRowShown="0" headerRowDxfId="318" headerRowBorderDxfId="317" tableBorderDxfId="316" totalsRowBorderDxfId="315">
  <autoFilter ref="B42:C44"/>
  <tableColumns count="2">
    <tableColumn id="1" name="Supuestos considerados" dataDxfId="314"/>
    <tableColumn id="2" name="Magnitud " dataDxfId="313"/>
  </tableColumns>
  <tableStyleInfo name="TableStyleMedium5" showFirstColumn="0" showLastColumn="0" showRowStripes="1" showColumnStripes="0"/>
</table>
</file>

<file path=xl/tables/table72.xml><?xml version="1.0" encoding="utf-8"?>
<table xmlns="http://schemas.openxmlformats.org/spreadsheetml/2006/main" id="62" name="Tabla62" displayName="Tabla62" ref="G36:G37" totalsRowShown="0" headerRowDxfId="312" dataDxfId="310" headerRowBorderDxfId="311" tableBorderDxfId="309" totalsRowBorderDxfId="308">
  <autoFilter ref="G36:G37"/>
  <tableColumns count="1">
    <tableColumn id="1" name="Volumen final de Mosto [L]" dataDxfId="307">
      <calculatedColumnFormula>D39/Cocción!D58</calculatedColumnFormula>
    </tableColumn>
  </tableColumns>
  <tableStyleInfo name="TableStyleMedium5" showFirstColumn="0" showLastColumn="0" showRowStripes="1" showColumnStripes="0"/>
</table>
</file>

<file path=xl/tables/table73.xml><?xml version="1.0" encoding="utf-8"?>
<table xmlns="http://schemas.openxmlformats.org/spreadsheetml/2006/main" id="69" name="Tabla69" displayName="Tabla69" ref="B15:F19" totalsRowShown="0" headerRowDxfId="306" dataDxfId="305">
  <autoFilter ref="B15:F19"/>
  <tableColumns count="5">
    <tableColumn id="1" name="Flujos" dataDxfId="304"/>
    <tableColumn id="2" name="Símbolo" dataDxfId="303"/>
    <tableColumn id="3" name="Flujo volumétrico [m^3/s]" dataDxfId="302"/>
    <tableColumn id="4" name="Flujo másico [kg/s]" dataDxfId="301"/>
    <tableColumn id="5" name="Temperatura [C]" dataDxfId="300"/>
  </tableColumns>
  <tableStyleInfo name="TableStyleMedium1" showFirstColumn="0" showLastColumn="0" showRowStripes="1" showColumnStripes="0"/>
</table>
</file>

<file path=xl/tables/table74.xml><?xml version="1.0" encoding="utf-8"?>
<table xmlns="http://schemas.openxmlformats.org/spreadsheetml/2006/main" id="70" name="Tabla70" displayName="Tabla70" ref="A24:F33" totalsRowShown="0" headerRowDxfId="299" dataDxfId="297" headerRowBorderDxfId="298" tableBorderDxfId="296" totalsRowBorderDxfId="295">
  <autoFilter ref="A24:F33"/>
  <tableColumns count="6">
    <tableColumn id="1" name="Propiedades" dataDxfId="294"/>
    <tableColumn id="6" name="Símbolo " dataDxfId="293"/>
    <tableColumn id="7" name="Unidades" dataDxfId="292"/>
    <tableColumn id="8" name="Magnitud" dataDxfId="291"/>
    <tableColumn id="9" name="Supuestos" dataDxfId="290"/>
    <tableColumn id="10" name="Bibliografía" dataDxfId="289"/>
  </tableColumns>
  <tableStyleInfo name="TableStyleMedium1" showFirstColumn="0" showLastColumn="0" showRowStripes="1" showColumnStripes="0"/>
</table>
</file>

<file path=xl/tables/table75.xml><?xml version="1.0" encoding="utf-8"?>
<table xmlns="http://schemas.openxmlformats.org/spreadsheetml/2006/main" id="71" name="Tabla71" displayName="Tabla71" ref="A35:E42" totalsRowShown="0" headerRowDxfId="288" dataDxfId="286" headerRowBorderDxfId="287" tableBorderDxfId="285" totalsRowBorderDxfId="284">
  <autoFilter ref="A35:E42"/>
  <tableColumns count="5">
    <tableColumn id="1" name="Dimensiones del equipo" dataDxfId="283"/>
    <tableColumn id="6" name="Símbolo" dataDxfId="282"/>
    <tableColumn id="7" name="Unidades" dataDxfId="281"/>
    <tableColumn id="8" name="Magnitud" dataDxfId="280"/>
    <tableColumn id="9" name="Bibliografía" dataDxfId="279"/>
  </tableColumns>
  <tableStyleInfo name="TableStyleMedium1" showFirstColumn="0" showLastColumn="0" showRowStripes="1" showColumnStripes="0"/>
</table>
</file>

<file path=xl/tables/table76.xml><?xml version="1.0" encoding="utf-8"?>
<table xmlns="http://schemas.openxmlformats.org/spreadsheetml/2006/main" id="72" name="Tabla72" displayName="Tabla72" ref="A44:F49" totalsRowShown="0" headerRowDxfId="278" dataDxfId="276" headerRowBorderDxfId="277" tableBorderDxfId="275" totalsRowBorderDxfId="274">
  <autoFilter ref="A44:F49"/>
  <tableColumns count="6">
    <tableColumn id="1" name="Parámetros operacionales" dataDxfId="273"/>
    <tableColumn id="6" name="Símbolo" dataDxfId="272"/>
    <tableColumn id="7" name="Unidades" dataDxfId="271"/>
    <tableColumn id="8" name="Magnitud" dataDxfId="270"/>
    <tableColumn id="9" name="Supuestos " dataDxfId="269"/>
    <tableColumn id="10" name="Bbliografía" dataDxfId="268"/>
  </tableColumns>
  <tableStyleInfo name="TableStyleMedium1" showFirstColumn="0" showLastColumn="0" showRowStripes="1" showColumnStripes="0"/>
</table>
</file>

<file path=xl/tables/table77.xml><?xml version="1.0" encoding="utf-8"?>
<table xmlns="http://schemas.openxmlformats.org/spreadsheetml/2006/main" id="73" name="Tabla73" displayName="Tabla73" ref="A52:F56" totalsRowShown="0" headerRowDxfId="267" dataDxfId="265" headerRowBorderDxfId="266" tableBorderDxfId="264" totalsRowBorderDxfId="263">
  <autoFilter ref="A52:F56"/>
  <tableColumns count="6">
    <tableColumn id="1" name="Adimensionales calculados" dataDxfId="262"/>
    <tableColumn id="6" name="Símbolo" dataDxfId="261"/>
    <tableColumn id="7" name="Unidades" dataDxfId="260"/>
    <tableColumn id="8" name="Magnitud" dataDxfId="259"/>
    <tableColumn id="9" name="Ecuación" dataDxfId="258"/>
    <tableColumn id="10" name="Bibliografía" dataDxfId="257"/>
  </tableColumns>
  <tableStyleInfo name="TableStyleMedium1" showFirstColumn="0" showLastColumn="0" showRowStripes="1" showColumnStripes="0"/>
</table>
</file>

<file path=xl/tables/table78.xml><?xml version="1.0" encoding="utf-8"?>
<table xmlns="http://schemas.openxmlformats.org/spreadsheetml/2006/main" id="74" name="Tabla74" displayName="Tabla74" ref="A59:G68" totalsRowShown="0" headerRowDxfId="256" dataDxfId="254" headerRowBorderDxfId="255" tableBorderDxfId="253" totalsRowBorderDxfId="252">
  <autoFilter ref="A59:G68"/>
  <tableColumns count="7">
    <tableColumn id="1" name="Parámetros calculados" dataDxfId="251"/>
    <tableColumn id="6" name="Símbolo" dataDxfId="250"/>
    <tableColumn id="7" name="Unidades" dataDxfId="249"/>
    <tableColumn id="8" name="Magnitud" dataDxfId="248"/>
    <tableColumn id="9" name="Ecuación" dataDxfId="247"/>
    <tableColumn id="10" name="Supuestos" dataDxfId="246"/>
    <tableColumn id="11" name="Bibliografía" dataDxfId="245"/>
  </tableColumns>
  <tableStyleInfo name="TableStyleMedium1" showFirstColumn="0" showLastColumn="0" showRowStripes="1" showColumnStripes="0"/>
</table>
</file>

<file path=xl/tables/table79.xml><?xml version="1.0" encoding="utf-8"?>
<table xmlns="http://schemas.openxmlformats.org/spreadsheetml/2006/main" id="88" name="Tabla4" displayName="Tabla4" ref="A18:F36" totalsRowShown="0" headerRowDxfId="244" dataDxfId="242" headerRowBorderDxfId="243" tableBorderDxfId="241" totalsRowBorderDxfId="240">
  <autoFilter ref="A18:F36"/>
  <tableColumns count="6">
    <tableColumn id="1" name="Propiedades" dataDxfId="239"/>
    <tableColumn id="4" name="Símbolo" dataDxfId="238"/>
    <tableColumn id="5" name="Magnitud" dataDxfId="237"/>
    <tableColumn id="6" name="Unidades" dataDxfId="236"/>
    <tableColumn id="7" name="Supuestos" dataDxfId="235"/>
    <tableColumn id="8" name="Bibliografía" dataDxfId="234"/>
  </tableColumns>
  <tableStyleInfo name="TableStyleMedium1" showFirstColumn="0" showLastColumn="0" showRowStripes="1" showColumnStripes="0"/>
</table>
</file>

<file path=xl/tables/table8.xml><?xml version="1.0" encoding="utf-8"?>
<table xmlns="http://schemas.openxmlformats.org/spreadsheetml/2006/main" id="117" name="Tabla75118" displayName="Tabla75118" ref="A41:G49" totalsRowShown="0" headerRowDxfId="793" headerRowBorderDxfId="792" tableBorderDxfId="791">
  <autoFilter ref="A41:G49"/>
  <tableColumns count="7">
    <tableColumn id="1" name="Parámetros calculados" dataDxfId="790"/>
    <tableColumn id="6" name="Símbolo" dataDxfId="789"/>
    <tableColumn id="7" name="Magnitud" dataDxfId="788"/>
    <tableColumn id="8" name="Unidades" dataDxfId="787"/>
    <tableColumn id="9" name="Ecuación" dataDxfId="786"/>
    <tableColumn id="10" name="Supuestos" dataDxfId="785"/>
    <tableColumn id="11" name="Bibliografía" dataDxfId="784"/>
  </tableColumns>
  <tableStyleInfo name="TableStyleMedium1" showFirstColumn="0" showLastColumn="0" showRowStripes="1" showColumnStripes="0"/>
</table>
</file>

<file path=xl/tables/table80.xml><?xml version="1.0" encoding="utf-8"?>
<table xmlns="http://schemas.openxmlformats.org/spreadsheetml/2006/main" id="89" name="Tabla590" displayName="Tabla590" ref="A38:G46" totalsRowShown="0" headerRowDxfId="233" dataDxfId="231" headerRowBorderDxfId="232" tableBorderDxfId="230">
  <autoFilter ref="A38:G46"/>
  <tableColumns count="7">
    <tableColumn id="1" name="Parámetros operacionales" dataDxfId="229"/>
    <tableColumn id="4" name="Símbolo" dataDxfId="228"/>
    <tableColumn id="5" name="Magnitud" dataDxfId="227"/>
    <tableColumn id="6" name="Unidades" dataDxfId="226"/>
    <tableColumn id="7" name="Ecuación" dataDxfId="225"/>
    <tableColumn id="8" name="Supuestos" dataDxfId="224"/>
    <tableColumn id="9" name="Bibliografía" dataDxfId="223"/>
  </tableColumns>
  <tableStyleInfo name="TableStyleMedium1" showFirstColumn="0" showLastColumn="0" showRowStripes="1" showColumnStripes="0"/>
</table>
</file>

<file path=xl/tables/table81.xml><?xml version="1.0" encoding="utf-8"?>
<table xmlns="http://schemas.openxmlformats.org/spreadsheetml/2006/main" id="94" name="Tabla695" displayName="Tabla695" ref="A48:G69" totalsRowShown="0" headerRowDxfId="222" tableBorderDxfId="221">
  <autoFilter ref="A48:G69"/>
  <tableColumns count="7">
    <tableColumn id="1" name="Parámetros calculados IC macerador/cocción" dataDxfId="220"/>
    <tableColumn id="4" name="Símbolo"/>
    <tableColumn id="5" name="Magnitud"/>
    <tableColumn id="6" name="Unidades" dataDxfId="219"/>
    <tableColumn id="7" name="Ecuación"/>
    <tableColumn id="8" name="Supuestos" dataDxfId="218"/>
    <tableColumn id="9" name="Columna3" dataDxfId="217"/>
  </tableColumns>
  <tableStyleInfo name="TableStyleMedium1" showFirstColumn="0" showLastColumn="0" showRowStripes="1" showColumnStripes="0"/>
</table>
</file>

<file path=xl/tables/table82.xml><?xml version="1.0" encoding="utf-8"?>
<table xmlns="http://schemas.openxmlformats.org/spreadsheetml/2006/main" id="95" name="Tabla7" displayName="Tabla7" ref="A72:G101" totalsRowShown="0" headerRowDxfId="216" dataDxfId="214" headerRowBorderDxfId="215" tableBorderDxfId="213">
  <autoFilter ref="A72:G101"/>
  <tableColumns count="7">
    <tableColumn id="1" name="Parámetros calculados caldera" dataDxfId="212"/>
    <tableColumn id="4" name="Símbolo"/>
    <tableColumn id="5" name="Magnitud" dataDxfId="211"/>
    <tableColumn id="6" name="Unidades" dataDxfId="210"/>
    <tableColumn id="7" name="Ecuación" dataDxfId="209"/>
    <tableColumn id="8" name="Supuestos" dataDxfId="208"/>
    <tableColumn id="9" name="Bibliografía"/>
  </tableColumns>
  <tableStyleInfo name="TableStyleMedium1" showFirstColumn="0" showLastColumn="0" showRowStripes="1" showColumnStripes="0"/>
</table>
</file>

<file path=xl/tables/table83.xml><?xml version="1.0" encoding="utf-8"?>
<table xmlns="http://schemas.openxmlformats.org/spreadsheetml/2006/main" id="96" name="Tabla8" displayName="Tabla8" ref="A103:G115" totalsRowShown="0" headerRowDxfId="207" dataDxfId="205" headerRowBorderDxfId="206" tableBorderDxfId="204">
  <autoFilter ref="A103:G115"/>
  <tableColumns count="7">
    <tableColumn id="1" name="Adimensionales calculados" dataDxfId="203"/>
    <tableColumn id="4" name="Símbolo" dataDxfId="202"/>
    <tableColumn id="5" name="Magnitud" dataDxfId="201"/>
    <tableColumn id="6" name="Unidades" dataDxfId="200"/>
    <tableColumn id="7" name="Ecuación" dataDxfId="199"/>
    <tableColumn id="8" name="Supuestos" dataDxfId="198"/>
    <tableColumn id="9" name="Bibliografía" dataDxfId="197"/>
  </tableColumns>
  <tableStyleInfo name="TableStyleMedium1" showFirstColumn="0" showLastColumn="0" showRowStripes="1" showColumnStripes="0"/>
</table>
</file>

<file path=xl/tables/table84.xml><?xml version="1.0" encoding="utf-8"?>
<table xmlns="http://schemas.openxmlformats.org/spreadsheetml/2006/main" id="97" name="Tabla9" displayName="Tabla9" ref="C9:F16" totalsRowShown="0" headerRowDxfId="196" dataDxfId="195">
  <autoFilter ref="C9:F16"/>
  <tableColumns count="4">
    <tableColumn id="1" name="Periodo de calentamiento"/>
    <tableColumn id="2" name="Temperatura inicial mosto [°C]" dataDxfId="194"/>
    <tableColumn id="3" name="Temperatura final mosto[°C]" dataDxfId="193"/>
    <tableColumn id="4" name="Tiempo de calentamiento[s]" dataDxfId="192"/>
  </tableColumns>
  <tableStyleInfo name="TableStyleMedium1" showFirstColumn="0" showLastColumn="0" showRowStripes="1" showColumnStripes="0"/>
</table>
</file>

<file path=xl/tables/table85.xml><?xml version="1.0" encoding="utf-8"?>
<table xmlns="http://schemas.openxmlformats.org/spreadsheetml/2006/main" id="98" name="Tabla26" displayName="Tabla26" ref="A118:D125" totalsRowShown="0" headerRowDxfId="191" tableBorderDxfId="190">
  <autoFilter ref="A118:D125"/>
  <tableColumns count="4">
    <tableColumn id="1" name="Volumen Mosto" dataDxfId="189"/>
    <tableColumn id="2" name="Periodo" dataDxfId="188"/>
    <tableColumn id="3" name="Masa de mosto" dataDxfId="187"/>
    <tableColumn id="4" name="Flujo de Biomasa [kg/s]" dataDxfId="186"/>
  </tableColumns>
  <tableStyleInfo name="TableStyleMedium6" showFirstColumn="0" showLastColumn="0" showRowStripes="1" showColumnStripes="0"/>
</table>
</file>

<file path=xl/tables/table86.xml><?xml version="1.0" encoding="utf-8"?>
<table xmlns="http://schemas.openxmlformats.org/spreadsheetml/2006/main" id="99" name="Tabla38100" displayName="Tabla38100" ref="B163:D168" totalsRowShown="0" headerRowDxfId="185" headerRowBorderDxfId="184" tableBorderDxfId="183" totalsRowBorderDxfId="182">
  <autoFilter ref="B163:D168"/>
  <tableColumns count="3">
    <tableColumn id="1" name="Columna1" dataDxfId="181"/>
    <tableColumn id="2" name="Pesos Moleculares" dataDxfId="180"/>
    <tableColumn id="3" name="Columna2" dataDxfId="179"/>
  </tableColumns>
  <tableStyleInfo name="TableStyleMedium1" showFirstColumn="0" showLastColumn="0" showRowStripes="1" showColumnStripes="0"/>
</table>
</file>

<file path=xl/tables/table87.xml><?xml version="1.0" encoding="utf-8"?>
<table xmlns="http://schemas.openxmlformats.org/spreadsheetml/2006/main" id="100" name="Tabla89" displayName="Tabla89" ref="B149:D152" totalsRowShown="0">
  <autoFilter ref="B149:D152"/>
  <tableColumns count="3">
    <tableColumn id="1" name="Columna1" dataDxfId="178"/>
    <tableColumn id="2" name="Flujo de aire" dataDxfId="177"/>
    <tableColumn id="3" name="Unidades" dataDxfId="176"/>
  </tableColumns>
  <tableStyleInfo name="TableStyleMedium1" showFirstColumn="0" showLastColumn="0" showRowStripes="1" showColumnStripes="0"/>
</table>
</file>

<file path=xl/tables/table88.xml><?xml version="1.0" encoding="utf-8"?>
<table xmlns="http://schemas.openxmlformats.org/spreadsheetml/2006/main" id="105" name="Tabla105" displayName="Tabla105" ref="A127:D134" totalsRowShown="0">
  <autoFilter ref="A127:D134"/>
  <tableColumns count="4">
    <tableColumn id="1" name="Volumen Mosto Ambar"/>
    <tableColumn id="2" name="Periodo" dataDxfId="175"/>
    <tableColumn id="3" name="Masa de Mosto" dataDxfId="174">
      <calculatedColumnFormula>$A$129*$C$20</calculatedColumnFormula>
    </tableColumn>
    <tableColumn id="4" name="Flujo de Biomasa [kg/s]" dataDxfId="173">
      <calculatedColumnFormula>(($C$128/600)*$C$28*(-1)*(((($C$128*$C$24*(E10-D10)/F10)/(($C$128/600)*$C$28))-$C$40)*$C$42*(-1)-($C$40/$C$42)))/$C$36</calculatedColumnFormula>
    </tableColumn>
  </tableColumns>
  <tableStyleInfo name="TableStyleMedium3" showFirstColumn="0" showLastColumn="0" showRowStripes="1" showColumnStripes="0"/>
</table>
</file>

<file path=xl/tables/table89.xml><?xml version="1.0" encoding="utf-8"?>
<table xmlns="http://schemas.openxmlformats.org/spreadsheetml/2006/main" id="106" name="Tabla106" displayName="Tabla106" ref="A136:D143" totalsRowShown="0">
  <autoFilter ref="A136:D143"/>
  <tableColumns count="4">
    <tableColumn id="1" name="Volumen Mosto Golden"/>
    <tableColumn id="2" name="Periodo" dataDxfId="172"/>
    <tableColumn id="3" name="Masa de Mosto" dataDxfId="171">
      <calculatedColumnFormula>$A$138*$C$21</calculatedColumnFormula>
    </tableColumn>
    <tableColumn id="4" name="Flujo de Biomasa [kg/s]" dataDxfId="170">
      <calculatedColumnFormula>(($C$137/600)*$C$28*(-1)*(((($C$137*$C$24*(E10-D10)/F10)/(($C$137/600)*$C$28))-$C$40)*$C$42*(-1)-($C$40/$C$42)))/$C$36</calculatedColumnFormula>
    </tableColumn>
  </tableColumns>
  <tableStyleInfo name="TableStyleMedium5" showFirstColumn="0" showLastColumn="0" showRowStripes="1" showColumnStripes="0"/>
</table>
</file>

<file path=xl/tables/table9.xml><?xml version="1.0" encoding="utf-8"?>
<table xmlns="http://schemas.openxmlformats.org/spreadsheetml/2006/main" id="118" name="Tabla278119" displayName="Tabla278119" ref="I22:M27" totalsRowShown="0" headerRowDxfId="783" dataDxfId="782">
  <autoFilter ref="I22:M27"/>
  <tableColumns count="5">
    <tableColumn id="1" name="Balance Imperial Stout" dataDxfId="781"/>
    <tableColumn id="2" name="Símbolo" dataDxfId="780"/>
    <tableColumn id="3" name="Magnitud" dataDxfId="779"/>
    <tableColumn id="4" name="Unidad" dataDxfId="778"/>
    <tableColumn id="5" name="Concentración de arsénico [mg/L]" dataDxfId="777"/>
  </tableColumns>
  <tableStyleInfo name="TableStyleMedium2" showFirstColumn="0" showLastColumn="0" showRowStripes="1" showColumnStripes="0"/>
</table>
</file>

<file path=xl/tables/table90.xml><?xml version="1.0" encoding="utf-8"?>
<table xmlns="http://schemas.openxmlformats.org/spreadsheetml/2006/main" id="107" name="Tabla107" displayName="Tabla107" ref="F118:G125" totalsRowShown="0" headerRowDxfId="169" headerRowBorderDxfId="168" tableBorderDxfId="167">
  <autoFilter ref="F118:G125"/>
  <tableColumns count="2">
    <tableColumn id="1" name="Tiempo [s]" dataDxfId="166">
      <calculatedColumnFormula>F10</calculatedColumnFormula>
    </tableColumn>
    <tableColumn id="2" name="Kilos de Biomasa [kg]" dataDxfId="165">
      <calculatedColumnFormula>F119*D119</calculatedColumnFormula>
    </tableColumn>
  </tableColumns>
  <tableStyleInfo name="TableStyleMedium2" showFirstColumn="0" showLastColumn="0" showRowStripes="1" showColumnStripes="0"/>
</table>
</file>

<file path=xl/tables/table91.xml><?xml version="1.0" encoding="utf-8"?>
<table xmlns="http://schemas.openxmlformats.org/spreadsheetml/2006/main" id="108" name="Tabla108" displayName="Tabla108" ref="F127:G134" totalsRowShown="0" headerRowDxfId="164" tableBorderDxfId="163">
  <autoFilter ref="F127:G134"/>
  <tableColumns count="2">
    <tableColumn id="1" name="Tiempo " dataDxfId="162">
      <calculatedColumnFormula>F10</calculatedColumnFormula>
    </tableColumn>
    <tableColumn id="2" name="Kilos de Biomasa [kg]" dataDxfId="161">
      <calculatedColumnFormula>F128*D128</calculatedColumnFormula>
    </tableColumn>
  </tableColumns>
  <tableStyleInfo name="TableStyleMedium3" showFirstColumn="0" showLastColumn="0" showRowStripes="1" showColumnStripes="0"/>
</table>
</file>

<file path=xl/tables/table92.xml><?xml version="1.0" encoding="utf-8"?>
<table xmlns="http://schemas.openxmlformats.org/spreadsheetml/2006/main" id="109" name="Tabla109" displayName="Tabla109" ref="F136:G143" totalsRowShown="0" headerRowDxfId="160" tableBorderDxfId="159">
  <autoFilter ref="F136:G143"/>
  <tableColumns count="2">
    <tableColumn id="1" name="Tiempo " dataDxfId="158">
      <calculatedColumnFormula>F10</calculatedColumnFormula>
    </tableColumn>
    <tableColumn id="2" name="Kilos de Biomasa [kg]" dataDxfId="157">
      <calculatedColumnFormula>F137*D137</calculatedColumnFormula>
    </tableColumn>
  </tableColumns>
  <tableStyleInfo name="TableStyleMedium5" showFirstColumn="0" showLastColumn="0" showRowStripes="1" showColumnStripes="0"/>
</table>
</file>

<file path=xl/tables/table93.xml><?xml version="1.0" encoding="utf-8"?>
<table xmlns="http://schemas.openxmlformats.org/spreadsheetml/2006/main" id="1" name="Tabla1" displayName="Tabla1" ref="D39:F43" totalsRowShown="0" headerRowBorderDxfId="156" tableBorderDxfId="155" totalsRowBorderDxfId="154">
  <autoFilter ref="D39:F43"/>
  <tableColumns count="3">
    <tableColumn id="1" name="Parámetros" dataDxfId="153"/>
    <tableColumn id="2" name="Símbolo " dataDxfId="152"/>
    <tableColumn id="3" name="Unidades" dataDxfId="151"/>
  </tableColumns>
  <tableStyleInfo name="TableStyleMedium1" showFirstColumn="0" showLastColumn="0" showRowStripes="1" showColumnStripes="0"/>
</table>
</file>

<file path=xl/tables/table94.xml><?xml version="1.0" encoding="utf-8"?>
<table xmlns="http://schemas.openxmlformats.org/spreadsheetml/2006/main" id="11" name="Tabla11" displayName="Tabla11" ref="A13:F37" totalsRowShown="0" headerRowDxfId="150" headerRowBorderDxfId="149" tableBorderDxfId="148" totalsRowBorderDxfId="147">
  <autoFilter ref="A13:F37"/>
  <tableColumns count="6">
    <tableColumn id="1" name="Datos bibliográficos" dataDxfId="146"/>
    <tableColumn id="2" name="Símbolo " dataDxfId="145"/>
    <tableColumn id="3" name="Magnitud" dataDxfId="144"/>
    <tableColumn id="4" name="Unidades" dataDxfId="143"/>
    <tableColumn id="5" name="Supuesto" dataDxfId="142"/>
    <tableColumn id="6" name="Bibliografía" dataDxfId="141"/>
  </tableColumns>
  <tableStyleInfo name="TableStyleMedium1" showFirstColumn="0" showLastColumn="0" showRowStripes="1" showColumnStripes="0"/>
</table>
</file>

<file path=xl/tables/table95.xml><?xml version="1.0" encoding="utf-8"?>
<table xmlns="http://schemas.openxmlformats.org/spreadsheetml/2006/main" id="12" name="Tabla12" displayName="Tabla12" ref="F54:G62" totalsRowShown="0" headerRowDxfId="140" dataDxfId="139">
  <autoFilter ref="F54:G62"/>
  <tableColumns count="2">
    <tableColumn id="1" name="Columna1" dataDxfId="138"/>
    <tableColumn id="2" name="Coeficientes" dataDxfId="137"/>
  </tableColumns>
  <tableStyleInfo name="TableStyleMedium1" showFirstColumn="0" showLastColumn="0" showRowStripes="1" showColumnStripes="0"/>
</table>
</file>

<file path=xl/tables/table96.xml><?xml version="1.0" encoding="utf-8"?>
<table xmlns="http://schemas.openxmlformats.org/spreadsheetml/2006/main" id="13" name="Tabla13" displayName="Tabla13" ref="A69:F74" totalsRowShown="0" headerRowDxfId="136" dataDxfId="135">
  <autoFilter ref="A69:F74"/>
  <tableColumns count="6">
    <tableColumn id="1" name="Parámetros calculados" dataDxfId="134"/>
    <tableColumn id="2" name="Símbolo " dataDxfId="133"/>
    <tableColumn id="3" name="Magnitud" dataDxfId="132"/>
    <tableColumn id="4" name="Unidades" dataDxfId="131"/>
    <tableColumn id="5" name="Supuesto" dataDxfId="130"/>
    <tableColumn id="6" name="Bibliografía" dataDxfId="129"/>
  </tableColumns>
  <tableStyleInfo name="TableStyleMedium1" showFirstColumn="0" showLastColumn="0" showRowStripes="1" showColumnStripes="0"/>
</table>
</file>

<file path=xl/tables/table97.xml><?xml version="1.0" encoding="utf-8"?>
<table xmlns="http://schemas.openxmlformats.org/spreadsheetml/2006/main" id="14" name="Tabla14" displayName="Tabla14" ref="A79:F91" totalsRowShown="0" headerRowDxfId="128">
  <autoFilter ref="A79:F91"/>
  <tableColumns count="6">
    <tableColumn id="1" name="Parámetros iniciales" dataDxfId="127"/>
    <tableColumn id="2" name="Símbolo " dataDxfId="126"/>
    <tableColumn id="3" name="Magnitud" dataDxfId="125"/>
    <tableColumn id="4" name="Unidades" dataDxfId="124"/>
    <tableColumn id="5" name="Supuesto" dataDxfId="123"/>
    <tableColumn id="6" name="Bibliografía" dataDxfId="122"/>
  </tableColumns>
  <tableStyleInfo name="TableStyleMedium6" showFirstColumn="0" showLastColumn="0" showRowStripes="1" showColumnStripes="0"/>
</table>
</file>

<file path=xl/tables/table98.xml><?xml version="1.0" encoding="utf-8"?>
<table xmlns="http://schemas.openxmlformats.org/spreadsheetml/2006/main" id="15" name="Tabla15" displayName="Tabla15" ref="A93:D98" totalsRowShown="0" headerRowDxfId="121" dataDxfId="120">
  <autoFilter ref="A93:D98"/>
  <tableColumns count="4">
    <tableColumn id="1" name="Parámetros obtenidos mediate el modelo " dataDxfId="119"/>
    <tableColumn id="2" name="Símbolo" dataDxfId="118"/>
    <tableColumn id="3" name="Magnitud" dataDxfId="117"/>
    <tableColumn id="4" name="Unidades" dataDxfId="116"/>
  </tableColumns>
  <tableStyleInfo name="TableStyleMedium6" showFirstColumn="0" showLastColumn="0" showRowStripes="1" showColumnStripes="0"/>
</table>
</file>

<file path=xl/tables/table99.xml><?xml version="1.0" encoding="utf-8"?>
<table xmlns="http://schemas.openxmlformats.org/spreadsheetml/2006/main" id="16" name="Tabla16" displayName="Tabla16" ref="H79:M86" totalsRowCount="1" headerRowDxfId="115" dataDxfId="114">
  <autoFilter ref="H79:M85"/>
  <tableColumns count="6">
    <tableColumn id="1" name="Sustratos Consumidos" totalsRowLabel="Generación-Consumo=0" dataDxfId="113" totalsRowDxfId="112"/>
    <tableColumn id="2" name="Masa [mol]" totalsRowFunction="custom" dataDxfId="111" totalsRowDxfId="110">
      <totalsRowFormula>(J80+J81+J82+J83+J84-M80-M81-M82-M83)*-1</totalsRowFormula>
    </tableColumn>
    <tableColumn id="3" name="Masa [g]" totalsRowFunction="custom" dataDxfId="109" totalsRowDxfId="108">
      <totalsRowFormula>I86*100/SUM(J80:J84)</totalsRowFormula>
    </tableColumn>
    <tableColumn id="4" name="Productos Generados" dataDxfId="107"/>
    <tableColumn id="5" name="Masa [mol]2" dataDxfId="106" totalsRowDxfId="105"/>
    <tableColumn id="6" name="Masa [g]3" dataDxfId="104" totalsRowDxfId="103"/>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54.xml"/><Relationship Id="rId3" Type="http://schemas.openxmlformats.org/officeDocument/2006/relationships/table" Target="../tables/table49.xml"/><Relationship Id="rId7" Type="http://schemas.openxmlformats.org/officeDocument/2006/relationships/table" Target="../tables/table53.xml"/><Relationship Id="rId2" Type="http://schemas.openxmlformats.org/officeDocument/2006/relationships/drawing" Target="../drawings/drawing9.xml"/><Relationship Id="rId1" Type="http://schemas.openxmlformats.org/officeDocument/2006/relationships/printerSettings" Target="../printerSettings/printerSettings7.bin"/><Relationship Id="rId6" Type="http://schemas.openxmlformats.org/officeDocument/2006/relationships/table" Target="../tables/table52.xml"/><Relationship Id="rId11" Type="http://schemas.openxmlformats.org/officeDocument/2006/relationships/table" Target="../tables/table57.xml"/><Relationship Id="rId5" Type="http://schemas.openxmlformats.org/officeDocument/2006/relationships/table" Target="../tables/table51.xml"/><Relationship Id="rId10" Type="http://schemas.openxmlformats.org/officeDocument/2006/relationships/table" Target="../tables/table56.xml"/><Relationship Id="rId4" Type="http://schemas.openxmlformats.org/officeDocument/2006/relationships/table" Target="../tables/table50.xml"/><Relationship Id="rId9" Type="http://schemas.openxmlformats.org/officeDocument/2006/relationships/table" Target="../tables/table55.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63.xml"/><Relationship Id="rId3" Type="http://schemas.openxmlformats.org/officeDocument/2006/relationships/table" Target="../tables/table58.xml"/><Relationship Id="rId7" Type="http://schemas.openxmlformats.org/officeDocument/2006/relationships/table" Target="../tables/table62.xml"/><Relationship Id="rId2" Type="http://schemas.openxmlformats.org/officeDocument/2006/relationships/drawing" Target="../drawings/drawing10.xml"/><Relationship Id="rId1" Type="http://schemas.openxmlformats.org/officeDocument/2006/relationships/printerSettings" Target="../printerSettings/printerSettings8.bin"/><Relationship Id="rId6" Type="http://schemas.openxmlformats.org/officeDocument/2006/relationships/table" Target="../tables/table61.xml"/><Relationship Id="rId5" Type="http://schemas.openxmlformats.org/officeDocument/2006/relationships/table" Target="../tables/table60.xml"/><Relationship Id="rId4" Type="http://schemas.openxmlformats.org/officeDocument/2006/relationships/table" Target="../tables/table59.xml"/></Relationships>
</file>

<file path=xl/worksheets/_rels/sheet12.xml.rels><?xml version="1.0" encoding="UTF-8" standalone="yes"?>
<Relationships xmlns="http://schemas.openxmlformats.org/package/2006/relationships"><Relationship Id="rId8" Type="http://schemas.openxmlformats.org/officeDocument/2006/relationships/table" Target="../tables/table69.xml"/><Relationship Id="rId3" Type="http://schemas.openxmlformats.org/officeDocument/2006/relationships/table" Target="../tables/table64.xml"/><Relationship Id="rId7" Type="http://schemas.openxmlformats.org/officeDocument/2006/relationships/table" Target="../tables/table68.xml"/><Relationship Id="rId2" Type="http://schemas.openxmlformats.org/officeDocument/2006/relationships/drawing" Target="../drawings/drawing11.xml"/><Relationship Id="rId1" Type="http://schemas.openxmlformats.org/officeDocument/2006/relationships/printerSettings" Target="../printerSettings/printerSettings9.bin"/><Relationship Id="rId6" Type="http://schemas.openxmlformats.org/officeDocument/2006/relationships/table" Target="../tables/table67.xml"/><Relationship Id="rId11" Type="http://schemas.openxmlformats.org/officeDocument/2006/relationships/table" Target="../tables/table72.xml"/><Relationship Id="rId5" Type="http://schemas.openxmlformats.org/officeDocument/2006/relationships/table" Target="../tables/table66.xml"/><Relationship Id="rId10" Type="http://schemas.openxmlformats.org/officeDocument/2006/relationships/table" Target="../tables/table71.xml"/><Relationship Id="rId4" Type="http://schemas.openxmlformats.org/officeDocument/2006/relationships/table" Target="../tables/table65.xml"/><Relationship Id="rId9" Type="http://schemas.openxmlformats.org/officeDocument/2006/relationships/table" Target="../tables/table70.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74.xml"/><Relationship Id="rId7" Type="http://schemas.openxmlformats.org/officeDocument/2006/relationships/table" Target="../tables/table78.xml"/><Relationship Id="rId2" Type="http://schemas.openxmlformats.org/officeDocument/2006/relationships/table" Target="../tables/table73.xml"/><Relationship Id="rId1" Type="http://schemas.openxmlformats.org/officeDocument/2006/relationships/drawing" Target="../drawings/drawing12.xml"/><Relationship Id="rId6" Type="http://schemas.openxmlformats.org/officeDocument/2006/relationships/table" Target="../tables/table77.xml"/><Relationship Id="rId5" Type="http://schemas.openxmlformats.org/officeDocument/2006/relationships/table" Target="../tables/table76.xml"/><Relationship Id="rId4" Type="http://schemas.openxmlformats.org/officeDocument/2006/relationships/table" Target="../tables/table75.xml"/></Relationships>
</file>

<file path=xl/worksheets/_rels/sheet14.xml.rels><?xml version="1.0" encoding="UTF-8" standalone="yes"?>
<Relationships xmlns="http://schemas.openxmlformats.org/package/2006/relationships"><Relationship Id="rId8" Type="http://schemas.openxmlformats.org/officeDocument/2006/relationships/table" Target="../tables/table82.xml"/><Relationship Id="rId13" Type="http://schemas.openxmlformats.org/officeDocument/2006/relationships/table" Target="../tables/table87.xml"/><Relationship Id="rId18" Type="http://schemas.openxmlformats.org/officeDocument/2006/relationships/table" Target="../tables/table92.xml"/><Relationship Id="rId3" Type="http://schemas.openxmlformats.org/officeDocument/2006/relationships/printerSettings" Target="../printerSettings/printerSettings10.bin"/><Relationship Id="rId7" Type="http://schemas.openxmlformats.org/officeDocument/2006/relationships/table" Target="../tables/table81.xml"/><Relationship Id="rId12" Type="http://schemas.openxmlformats.org/officeDocument/2006/relationships/table" Target="../tables/table86.xml"/><Relationship Id="rId17" Type="http://schemas.openxmlformats.org/officeDocument/2006/relationships/table" Target="../tables/table91.xml"/><Relationship Id="rId2" Type="http://schemas.openxmlformats.org/officeDocument/2006/relationships/hyperlink" Target="http://catalog.conveyorspneumatic.com/Asset/FLS%20Specific%20Heat%20Capacities%20of%20Gases.pdf" TargetMode="External"/><Relationship Id="rId16" Type="http://schemas.openxmlformats.org/officeDocument/2006/relationships/table" Target="../tables/table90.xml"/><Relationship Id="rId1" Type="http://schemas.openxmlformats.org/officeDocument/2006/relationships/hyperlink" Target="http://catalog.conveyorspneumatic.com/Asset/FLS%20Specific%20Heat%20Capacities%20of%20Gases.pdf" TargetMode="External"/><Relationship Id="rId6" Type="http://schemas.openxmlformats.org/officeDocument/2006/relationships/table" Target="../tables/table80.xml"/><Relationship Id="rId11" Type="http://schemas.openxmlformats.org/officeDocument/2006/relationships/table" Target="../tables/table85.xml"/><Relationship Id="rId5" Type="http://schemas.openxmlformats.org/officeDocument/2006/relationships/table" Target="../tables/table79.xml"/><Relationship Id="rId15" Type="http://schemas.openxmlformats.org/officeDocument/2006/relationships/table" Target="../tables/table89.xml"/><Relationship Id="rId10" Type="http://schemas.openxmlformats.org/officeDocument/2006/relationships/table" Target="../tables/table84.xml"/><Relationship Id="rId4" Type="http://schemas.openxmlformats.org/officeDocument/2006/relationships/drawing" Target="../drawings/drawing13.xml"/><Relationship Id="rId9" Type="http://schemas.openxmlformats.org/officeDocument/2006/relationships/table" Target="../tables/table83.xml"/><Relationship Id="rId14" Type="http://schemas.openxmlformats.org/officeDocument/2006/relationships/table" Target="../tables/table88.xml"/></Relationships>
</file>

<file path=xl/worksheets/_rels/sheet15.xml.rels><?xml version="1.0" encoding="UTF-8" standalone="yes"?>
<Relationships xmlns="http://schemas.openxmlformats.org/package/2006/relationships"><Relationship Id="rId8" Type="http://schemas.openxmlformats.org/officeDocument/2006/relationships/table" Target="../tables/table98.xml"/><Relationship Id="rId13" Type="http://schemas.openxmlformats.org/officeDocument/2006/relationships/table" Target="../tables/table103.xml"/><Relationship Id="rId18" Type="http://schemas.openxmlformats.org/officeDocument/2006/relationships/table" Target="../tables/table108.xml"/><Relationship Id="rId3" Type="http://schemas.openxmlformats.org/officeDocument/2006/relationships/table" Target="../tables/table93.xml"/><Relationship Id="rId7" Type="http://schemas.openxmlformats.org/officeDocument/2006/relationships/table" Target="../tables/table97.xml"/><Relationship Id="rId12" Type="http://schemas.openxmlformats.org/officeDocument/2006/relationships/table" Target="../tables/table102.xml"/><Relationship Id="rId17" Type="http://schemas.openxmlformats.org/officeDocument/2006/relationships/table" Target="../tables/table107.xml"/><Relationship Id="rId2" Type="http://schemas.openxmlformats.org/officeDocument/2006/relationships/drawing" Target="../drawings/drawing14.xml"/><Relationship Id="rId16" Type="http://schemas.openxmlformats.org/officeDocument/2006/relationships/table" Target="../tables/table106.xml"/><Relationship Id="rId1" Type="http://schemas.openxmlformats.org/officeDocument/2006/relationships/printerSettings" Target="../printerSettings/printerSettings11.bin"/><Relationship Id="rId6" Type="http://schemas.openxmlformats.org/officeDocument/2006/relationships/table" Target="../tables/table96.xml"/><Relationship Id="rId11" Type="http://schemas.openxmlformats.org/officeDocument/2006/relationships/table" Target="../tables/table101.xml"/><Relationship Id="rId5" Type="http://schemas.openxmlformats.org/officeDocument/2006/relationships/table" Target="../tables/table95.xml"/><Relationship Id="rId15" Type="http://schemas.openxmlformats.org/officeDocument/2006/relationships/table" Target="../tables/table105.xml"/><Relationship Id="rId10" Type="http://schemas.openxmlformats.org/officeDocument/2006/relationships/table" Target="../tables/table100.xml"/><Relationship Id="rId4" Type="http://schemas.openxmlformats.org/officeDocument/2006/relationships/table" Target="../tables/table94.xml"/><Relationship Id="rId9" Type="http://schemas.openxmlformats.org/officeDocument/2006/relationships/table" Target="../tables/table99.xml"/><Relationship Id="rId14" Type="http://schemas.openxmlformats.org/officeDocument/2006/relationships/table" Target="../tables/table104.xml"/></Relationships>
</file>

<file path=xl/worksheets/_rels/sheet16.xml.rels><?xml version="1.0" encoding="UTF-8" standalone="yes"?>
<Relationships xmlns="http://schemas.openxmlformats.org/package/2006/relationships"><Relationship Id="rId3" Type="http://schemas.openxmlformats.org/officeDocument/2006/relationships/table" Target="../tables/table110.xml"/><Relationship Id="rId2" Type="http://schemas.openxmlformats.org/officeDocument/2006/relationships/table" Target="../tables/table109.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12.xml"/><Relationship Id="rId1" Type="http://schemas.openxmlformats.org/officeDocument/2006/relationships/table" Target="../tables/table1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table" Target="../tables/table9.xml"/><Relationship Id="rId3" Type="http://schemas.openxmlformats.org/officeDocument/2006/relationships/table" Target="../tables/table4.xml"/><Relationship Id="rId7" Type="http://schemas.openxmlformats.org/officeDocument/2006/relationships/table" Target="../tables/table8.xml"/><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table" Target="../tables/table7.xml"/><Relationship Id="rId11" Type="http://schemas.openxmlformats.org/officeDocument/2006/relationships/table" Target="../tables/table12.xml"/><Relationship Id="rId5" Type="http://schemas.openxmlformats.org/officeDocument/2006/relationships/table" Target="../tables/table6.xml"/><Relationship Id="rId10" Type="http://schemas.openxmlformats.org/officeDocument/2006/relationships/table" Target="../tables/table11.xml"/><Relationship Id="rId4" Type="http://schemas.openxmlformats.org/officeDocument/2006/relationships/table" Target="../tables/table5.xml"/><Relationship Id="rId9" Type="http://schemas.openxmlformats.org/officeDocument/2006/relationships/table" Target="../tables/table10.xml"/></Relationships>
</file>

<file path=xl/worksheets/_rels/sheet7.xml.rels><?xml version="1.0" encoding="UTF-8" standalone="yes"?>
<Relationships xmlns="http://schemas.openxmlformats.org/package/2006/relationships"><Relationship Id="rId8" Type="http://schemas.openxmlformats.org/officeDocument/2006/relationships/table" Target="../tables/table19.xml"/><Relationship Id="rId3" Type="http://schemas.openxmlformats.org/officeDocument/2006/relationships/table" Target="../tables/table14.xml"/><Relationship Id="rId7" Type="http://schemas.openxmlformats.org/officeDocument/2006/relationships/table" Target="../tables/table18.xml"/><Relationship Id="rId2" Type="http://schemas.openxmlformats.org/officeDocument/2006/relationships/table" Target="../tables/table13.xml"/><Relationship Id="rId1" Type="http://schemas.openxmlformats.org/officeDocument/2006/relationships/drawing" Target="../drawings/drawing6.xml"/><Relationship Id="rId6" Type="http://schemas.openxmlformats.org/officeDocument/2006/relationships/table" Target="../tables/table17.xml"/><Relationship Id="rId5" Type="http://schemas.openxmlformats.org/officeDocument/2006/relationships/table" Target="../tables/table16.xml"/><Relationship Id="rId4" Type="http://schemas.openxmlformats.org/officeDocument/2006/relationships/table" Target="../tables/table15.xml"/></Relationships>
</file>

<file path=xl/worksheets/_rels/sheet8.xml.rels><?xml version="1.0" encoding="UTF-8" standalone="yes"?>
<Relationships xmlns="http://schemas.openxmlformats.org/package/2006/relationships"><Relationship Id="rId8" Type="http://schemas.openxmlformats.org/officeDocument/2006/relationships/table" Target="../tables/table25.xml"/><Relationship Id="rId13" Type="http://schemas.openxmlformats.org/officeDocument/2006/relationships/table" Target="../tables/table30.xml"/><Relationship Id="rId3" Type="http://schemas.openxmlformats.org/officeDocument/2006/relationships/table" Target="../tables/table20.xml"/><Relationship Id="rId7" Type="http://schemas.openxmlformats.org/officeDocument/2006/relationships/table" Target="../tables/table24.xml"/><Relationship Id="rId12" Type="http://schemas.openxmlformats.org/officeDocument/2006/relationships/table" Target="../tables/table29.xml"/><Relationship Id="rId17" Type="http://schemas.openxmlformats.org/officeDocument/2006/relationships/table" Target="../tables/table34.xml"/><Relationship Id="rId2" Type="http://schemas.openxmlformats.org/officeDocument/2006/relationships/drawing" Target="../drawings/drawing7.xml"/><Relationship Id="rId16" Type="http://schemas.openxmlformats.org/officeDocument/2006/relationships/table" Target="../tables/table33.xml"/><Relationship Id="rId1" Type="http://schemas.openxmlformats.org/officeDocument/2006/relationships/printerSettings" Target="../printerSettings/printerSettings5.bin"/><Relationship Id="rId6" Type="http://schemas.openxmlformats.org/officeDocument/2006/relationships/table" Target="../tables/table23.xml"/><Relationship Id="rId11" Type="http://schemas.openxmlformats.org/officeDocument/2006/relationships/table" Target="../tables/table28.xml"/><Relationship Id="rId5" Type="http://schemas.openxmlformats.org/officeDocument/2006/relationships/table" Target="../tables/table22.xml"/><Relationship Id="rId15" Type="http://schemas.openxmlformats.org/officeDocument/2006/relationships/table" Target="../tables/table32.xml"/><Relationship Id="rId10" Type="http://schemas.openxmlformats.org/officeDocument/2006/relationships/table" Target="../tables/table27.xml"/><Relationship Id="rId4" Type="http://schemas.openxmlformats.org/officeDocument/2006/relationships/table" Target="../tables/table21.xml"/><Relationship Id="rId9" Type="http://schemas.openxmlformats.org/officeDocument/2006/relationships/table" Target="../tables/table26.xml"/><Relationship Id="rId14" Type="http://schemas.openxmlformats.org/officeDocument/2006/relationships/table" Target="../tables/table31.xml"/></Relationships>
</file>

<file path=xl/worksheets/_rels/sheet9.xml.rels><?xml version="1.0" encoding="UTF-8" standalone="yes"?>
<Relationships xmlns="http://schemas.openxmlformats.org/package/2006/relationships"><Relationship Id="rId8" Type="http://schemas.openxmlformats.org/officeDocument/2006/relationships/table" Target="../tables/table40.xml"/><Relationship Id="rId13" Type="http://schemas.openxmlformats.org/officeDocument/2006/relationships/table" Target="../tables/table45.xml"/><Relationship Id="rId3" Type="http://schemas.openxmlformats.org/officeDocument/2006/relationships/table" Target="../tables/table35.xml"/><Relationship Id="rId7" Type="http://schemas.openxmlformats.org/officeDocument/2006/relationships/table" Target="../tables/table39.xml"/><Relationship Id="rId12" Type="http://schemas.openxmlformats.org/officeDocument/2006/relationships/table" Target="../tables/table44.xml"/><Relationship Id="rId2" Type="http://schemas.openxmlformats.org/officeDocument/2006/relationships/drawing" Target="../drawings/drawing8.xml"/><Relationship Id="rId16" Type="http://schemas.openxmlformats.org/officeDocument/2006/relationships/table" Target="../tables/table48.xml"/><Relationship Id="rId1" Type="http://schemas.openxmlformats.org/officeDocument/2006/relationships/printerSettings" Target="../printerSettings/printerSettings6.bin"/><Relationship Id="rId6" Type="http://schemas.openxmlformats.org/officeDocument/2006/relationships/table" Target="../tables/table38.xml"/><Relationship Id="rId11" Type="http://schemas.openxmlformats.org/officeDocument/2006/relationships/table" Target="../tables/table43.xml"/><Relationship Id="rId5" Type="http://schemas.openxmlformats.org/officeDocument/2006/relationships/table" Target="../tables/table37.xml"/><Relationship Id="rId15" Type="http://schemas.openxmlformats.org/officeDocument/2006/relationships/table" Target="../tables/table47.xml"/><Relationship Id="rId10" Type="http://schemas.openxmlformats.org/officeDocument/2006/relationships/table" Target="../tables/table42.xml"/><Relationship Id="rId4" Type="http://schemas.openxmlformats.org/officeDocument/2006/relationships/table" Target="../tables/table36.xml"/><Relationship Id="rId9" Type="http://schemas.openxmlformats.org/officeDocument/2006/relationships/table" Target="../tables/table41.xml"/><Relationship Id="rId14" Type="http://schemas.openxmlformats.org/officeDocument/2006/relationships/table" Target="../tables/table4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3"/>
  <sheetViews>
    <sheetView zoomScale="60" zoomScaleNormal="60" workbookViewId="0">
      <selection activeCell="B113" sqref="B113"/>
    </sheetView>
  </sheetViews>
  <sheetFormatPr baseColWidth="10" defaultRowHeight="15" x14ac:dyDescent="0.25"/>
  <cols>
    <col min="1" max="1" width="24.85546875" customWidth="1"/>
    <col min="2" max="2" width="18" bestFit="1" customWidth="1"/>
    <col min="3" max="3" width="16.85546875" customWidth="1"/>
    <col min="4" max="4" width="16.85546875" bestFit="1" customWidth="1"/>
    <col min="5" max="5" width="13.85546875" bestFit="1" customWidth="1"/>
    <col min="6" max="6" width="17.85546875" bestFit="1" customWidth="1"/>
    <col min="7" max="7" width="14.85546875" bestFit="1" customWidth="1"/>
    <col min="8" max="8" width="14.85546875" customWidth="1"/>
    <col min="9" max="9" width="19.85546875" bestFit="1" customWidth="1"/>
    <col min="10" max="10" width="17" bestFit="1" customWidth="1"/>
    <col min="11" max="11" width="17" customWidth="1"/>
    <col min="12" max="12" width="16.42578125" bestFit="1" customWidth="1"/>
    <col min="13" max="13" width="13.42578125" bestFit="1" customWidth="1"/>
    <col min="14" max="14" width="16.42578125" bestFit="1" customWidth="1"/>
    <col min="15" max="15" width="16.42578125" customWidth="1"/>
    <col min="16" max="16" width="21.42578125" customWidth="1"/>
    <col min="17" max="17" width="21.28515625" customWidth="1"/>
    <col min="18" max="18" width="19" bestFit="1" customWidth="1"/>
    <col min="19" max="19" width="18.85546875" bestFit="1" customWidth="1"/>
    <col min="20" max="20" width="18.85546875" customWidth="1"/>
    <col min="21" max="21" width="21" bestFit="1" customWidth="1"/>
    <col min="22" max="22" width="11.5703125" bestFit="1" customWidth="1"/>
    <col min="23" max="23" width="13.140625" customWidth="1"/>
    <col min="24" max="24" width="13.42578125" bestFit="1" customWidth="1"/>
    <col min="25" max="25" width="18.5703125" bestFit="1" customWidth="1"/>
  </cols>
  <sheetData>
    <row r="1" spans="1:38" ht="23.25" x14ac:dyDescent="0.35">
      <c r="A1" s="356" t="s">
        <v>476</v>
      </c>
      <c r="B1" s="357"/>
      <c r="C1" s="357"/>
      <c r="D1" s="357"/>
      <c r="E1" s="357"/>
      <c r="F1" s="357"/>
      <c r="G1" s="357"/>
      <c r="H1" s="357"/>
      <c r="I1" s="357"/>
      <c r="J1" s="357"/>
      <c r="K1" s="357"/>
      <c r="L1" s="357"/>
      <c r="M1" s="357"/>
      <c r="N1" s="357"/>
      <c r="O1" s="357"/>
      <c r="P1" s="357"/>
      <c r="Q1" s="357"/>
      <c r="R1" s="357"/>
      <c r="S1" s="357"/>
      <c r="T1" s="354"/>
    </row>
    <row r="5" spans="1:38" x14ac:dyDescent="0.25">
      <c r="B5" t="s">
        <v>773</v>
      </c>
      <c r="M5" s="91"/>
      <c r="N5" t="s">
        <v>781</v>
      </c>
    </row>
    <row r="6" spans="1:38" x14ac:dyDescent="0.25">
      <c r="A6" s="65" t="s">
        <v>477</v>
      </c>
      <c r="B6" s="79" t="s">
        <v>449</v>
      </c>
      <c r="C6" s="40" t="s">
        <v>774</v>
      </c>
      <c r="D6" s="36" t="s">
        <v>775</v>
      </c>
      <c r="E6" s="389" t="s">
        <v>776</v>
      </c>
      <c r="F6" s="390" t="s">
        <v>777</v>
      </c>
      <c r="G6" s="391" t="s">
        <v>778</v>
      </c>
      <c r="H6" s="391" t="s">
        <v>1192</v>
      </c>
      <c r="I6" s="391" t="s">
        <v>443</v>
      </c>
      <c r="J6" s="391" t="s">
        <v>779</v>
      </c>
      <c r="K6" s="391" t="s">
        <v>780</v>
      </c>
      <c r="L6" s="392" t="s">
        <v>232</v>
      </c>
      <c r="M6" s="393" t="s">
        <v>782</v>
      </c>
      <c r="N6" s="395" t="s">
        <v>504</v>
      </c>
      <c r="O6" s="396" t="s">
        <v>776</v>
      </c>
      <c r="P6" s="79" t="s">
        <v>1244</v>
      </c>
      <c r="Q6" s="79" t="s">
        <v>1245</v>
      </c>
      <c r="R6" s="398" t="s">
        <v>231</v>
      </c>
      <c r="S6" s="393" t="s">
        <v>782</v>
      </c>
      <c r="T6" s="393" t="s">
        <v>783</v>
      </c>
      <c r="U6" s="390" t="s">
        <v>777</v>
      </c>
      <c r="V6" s="355" t="s">
        <v>232</v>
      </c>
      <c r="W6" s="391" t="s">
        <v>779</v>
      </c>
      <c r="X6" s="391" t="s">
        <v>780</v>
      </c>
    </row>
    <row r="7" spans="1:38" x14ac:dyDescent="0.25">
      <c r="A7" s="4" t="s">
        <v>1187</v>
      </c>
      <c r="B7" s="206">
        <f>Cloración!D31</f>
        <v>8755</v>
      </c>
      <c r="C7" s="206"/>
      <c r="D7" s="206"/>
      <c r="E7" s="206"/>
      <c r="F7" s="206"/>
      <c r="G7" s="206"/>
      <c r="H7" s="206">
        <f>Cloración!D32</f>
        <v>8.7549999999999989E-3</v>
      </c>
      <c r="I7" s="206"/>
      <c r="J7" s="206"/>
      <c r="K7" s="206"/>
      <c r="L7" s="206"/>
      <c r="M7" s="206"/>
      <c r="N7" s="206"/>
      <c r="O7" s="206"/>
      <c r="P7" s="206"/>
      <c r="Q7" s="206"/>
      <c r="R7" s="206"/>
      <c r="S7" s="206"/>
      <c r="T7" s="206"/>
      <c r="U7" s="206"/>
      <c r="V7" s="4"/>
      <c r="W7" s="4"/>
      <c r="X7" s="4"/>
    </row>
    <row r="8" spans="1:38" x14ac:dyDescent="0.25">
      <c r="A8" s="4" t="s">
        <v>1188</v>
      </c>
      <c r="B8" s="206"/>
      <c r="C8" s="206"/>
      <c r="D8" s="206"/>
      <c r="E8" s="206"/>
      <c r="F8" s="206"/>
      <c r="G8" s="206"/>
      <c r="H8" s="206"/>
      <c r="I8" s="206"/>
      <c r="J8" s="206">
        <f>'Canaleta de Parshall '!D46</f>
        <v>0.134573105</v>
      </c>
      <c r="K8" s="206"/>
      <c r="L8" s="206"/>
      <c r="M8" s="206"/>
      <c r="N8" s="206"/>
      <c r="O8" s="206"/>
      <c r="P8" s="206"/>
      <c r="Q8" s="206"/>
      <c r="R8" s="206"/>
      <c r="S8" s="206"/>
      <c r="T8" s="206"/>
      <c r="U8" s="206"/>
      <c r="V8" s="4"/>
      <c r="W8" s="4"/>
      <c r="X8" s="4"/>
    </row>
    <row r="9" spans="1:38" x14ac:dyDescent="0.25">
      <c r="A9" s="4" t="s">
        <v>1189</v>
      </c>
      <c r="B9" s="206"/>
      <c r="C9" s="206"/>
      <c r="D9" s="206"/>
      <c r="E9" s="206"/>
      <c r="F9" s="206"/>
      <c r="G9" s="206"/>
      <c r="H9" s="206"/>
      <c r="I9" s="206"/>
      <c r="J9" s="206"/>
      <c r="K9" s="206">
        <f>Floculación!D32</f>
        <v>0.134573105</v>
      </c>
      <c r="L9" s="206"/>
      <c r="M9" s="206"/>
      <c r="N9" s="206"/>
      <c r="O9" s="206"/>
      <c r="P9" s="206"/>
      <c r="Q9" s="206"/>
      <c r="R9" s="206"/>
      <c r="S9" s="206"/>
      <c r="T9" s="206"/>
      <c r="U9" s="206"/>
      <c r="V9" s="4"/>
      <c r="W9" s="4"/>
      <c r="X9" s="4"/>
    </row>
    <row r="10" spans="1:38" x14ac:dyDescent="0.25">
      <c r="A10" s="4" t="s">
        <v>1190</v>
      </c>
      <c r="B10" s="206"/>
      <c r="C10" s="206"/>
      <c r="D10" s="206"/>
      <c r="E10" s="206"/>
      <c r="F10" s="206"/>
      <c r="G10" s="206"/>
      <c r="H10" s="206"/>
      <c r="I10" s="206"/>
      <c r="J10" s="206"/>
      <c r="K10" s="206"/>
      <c r="L10" s="206"/>
      <c r="M10" s="206"/>
      <c r="N10" s="206"/>
      <c r="O10" s="206"/>
      <c r="P10" s="206">
        <f>Sedimentador!K26</f>
        <v>246.5</v>
      </c>
      <c r="Q10" s="206"/>
      <c r="R10" s="206"/>
      <c r="S10" s="206"/>
      <c r="T10" s="206"/>
      <c r="U10" s="206"/>
      <c r="V10" s="4"/>
      <c r="W10" s="4">
        <f>0.5*J8</f>
        <v>6.7286552499999999E-2</v>
      </c>
      <c r="X10" s="4">
        <f>0.5*K9</f>
        <v>6.7286552499999999E-2</v>
      </c>
    </row>
    <row r="11" spans="1:38" x14ac:dyDescent="0.25">
      <c r="A11" s="4" t="s">
        <v>1191</v>
      </c>
      <c r="B11" s="206"/>
      <c r="C11" s="206"/>
      <c r="D11" s="206"/>
      <c r="E11" s="206"/>
      <c r="F11" s="206"/>
      <c r="G11" s="206"/>
      <c r="H11" s="206"/>
      <c r="I11" s="206"/>
      <c r="J11" s="206"/>
      <c r="K11" s="206"/>
      <c r="L11" s="206"/>
      <c r="M11" s="206"/>
      <c r="N11" s="206"/>
      <c r="O11" s="206"/>
      <c r="P11" s="206">
        <f>'Filtro lecho'!K22</f>
        <v>8.499999999998181</v>
      </c>
      <c r="Q11" s="206"/>
      <c r="R11" s="206"/>
      <c r="S11" s="206"/>
      <c r="T11" s="206"/>
      <c r="U11" s="206"/>
      <c r="V11" s="4"/>
      <c r="W11" s="4">
        <f>0.4*J8</f>
        <v>5.3829241999999999E-2</v>
      </c>
      <c r="X11" s="4">
        <f>0.4*K9</f>
        <v>5.3829241999999999E-2</v>
      </c>
    </row>
    <row r="12" spans="1:38" x14ac:dyDescent="0.25">
      <c r="A12" s="4" t="s">
        <v>478</v>
      </c>
      <c r="B12" s="388"/>
      <c r="C12" s="4">
        <f>'Reactor Batch 1'!C109</f>
        <v>3200</v>
      </c>
      <c r="D12" s="4"/>
      <c r="E12" s="4"/>
      <c r="F12" s="4"/>
      <c r="G12" s="4"/>
      <c r="H12" s="4"/>
      <c r="I12" s="4"/>
      <c r="J12" s="4"/>
      <c r="K12" s="4"/>
      <c r="L12" s="4"/>
      <c r="M12" s="4"/>
      <c r="N12" s="4"/>
      <c r="O12" s="4"/>
      <c r="P12" s="4"/>
      <c r="Q12" s="4"/>
      <c r="R12" s="4"/>
      <c r="S12" s="4"/>
      <c r="T12" s="4"/>
      <c r="U12" s="4"/>
      <c r="V12" s="4"/>
      <c r="W12" s="4"/>
      <c r="X12" s="4"/>
      <c r="AG12">
        <v>0</v>
      </c>
      <c r="AH12">
        <v>0</v>
      </c>
      <c r="AI12">
        <v>0</v>
      </c>
      <c r="AJ12">
        <v>0</v>
      </c>
    </row>
    <row r="13" spans="1:38" x14ac:dyDescent="0.25">
      <c r="A13" s="4" t="s">
        <v>479</v>
      </c>
      <c r="B13" s="4"/>
      <c r="C13" s="4"/>
      <c r="D13" s="4"/>
      <c r="E13" s="4"/>
      <c r="F13" s="4"/>
      <c r="G13" s="4"/>
      <c r="H13" s="4"/>
      <c r="I13" s="4"/>
      <c r="J13" s="4"/>
      <c r="K13" s="4"/>
      <c r="L13" s="4"/>
      <c r="M13" s="4"/>
      <c r="N13" s="4"/>
      <c r="O13" s="4"/>
      <c r="P13" s="4"/>
      <c r="Q13" s="4"/>
      <c r="R13" s="4"/>
      <c r="S13" s="4">
        <f>'Filtro prensa'!L44</f>
        <v>1267.1999999999998</v>
      </c>
      <c r="T13" s="4">
        <f>Tabla39[Masa de mosto acumulada '[kg']]</f>
        <v>190.07999999999998</v>
      </c>
      <c r="U13" s="4"/>
      <c r="V13" s="4"/>
      <c r="W13" s="4"/>
      <c r="X13" s="4"/>
      <c r="AG13">
        <v>0</v>
      </c>
      <c r="AH13">
        <v>0</v>
      </c>
      <c r="AI13">
        <v>0</v>
      </c>
      <c r="AJ13">
        <v>0</v>
      </c>
      <c r="AK13">
        <v>0</v>
      </c>
      <c r="AL13">
        <v>0</v>
      </c>
    </row>
    <row r="14" spans="1:38" x14ac:dyDescent="0.25">
      <c r="A14" s="4" t="s">
        <v>480</v>
      </c>
      <c r="B14" s="4"/>
      <c r="C14" s="4"/>
      <c r="D14" s="4">
        <f>Cocción!D22</f>
        <v>484.98879999999997</v>
      </c>
      <c r="E14" s="4"/>
      <c r="F14" s="4"/>
      <c r="G14" s="4"/>
      <c r="H14" s="4"/>
      <c r="I14" s="4"/>
      <c r="J14" s="4"/>
      <c r="K14" s="4"/>
      <c r="L14" s="4"/>
      <c r="M14" s="4"/>
      <c r="N14" s="4"/>
      <c r="O14" s="4"/>
      <c r="P14" s="4"/>
      <c r="Q14" s="4">
        <f>Cocción!D19</f>
        <v>1042.7003766153846</v>
      </c>
      <c r="R14" s="4"/>
      <c r="S14" s="4"/>
      <c r="T14" s="4"/>
      <c r="U14" s="4"/>
      <c r="V14" s="4"/>
      <c r="W14" s="4"/>
      <c r="X14" s="4"/>
      <c r="AG14" t="e">
        <f>#REF!</f>
        <v>#REF!</v>
      </c>
      <c r="AH14">
        <v>0</v>
      </c>
      <c r="AI14" t="e">
        <f>#REF!</f>
        <v>#REF!</v>
      </c>
      <c r="AJ14" t="e">
        <f>#REF!</f>
        <v>#REF!</v>
      </c>
      <c r="AK14">
        <v>0</v>
      </c>
      <c r="AL14">
        <v>0</v>
      </c>
    </row>
    <row r="15" spans="1:38" x14ac:dyDescent="0.25">
      <c r="A15" s="4" t="s">
        <v>431</v>
      </c>
      <c r="B15" s="4"/>
      <c r="C15" s="4"/>
      <c r="D15" s="4"/>
      <c r="E15" s="4"/>
      <c r="F15" s="4"/>
      <c r="G15" s="4"/>
      <c r="H15" s="4"/>
      <c r="I15" s="4"/>
      <c r="J15" s="4"/>
      <c r="K15" s="4"/>
      <c r="L15" s="4">
        <f>Caldera!K119</f>
        <v>639631.96395380085</v>
      </c>
      <c r="M15" s="4">
        <f>Caldera!J119</f>
        <v>376.46838542857165</v>
      </c>
      <c r="N15" s="4"/>
      <c r="O15" s="4"/>
      <c r="P15" s="4"/>
      <c r="Q15" s="4">
        <f>Caldera!N119</f>
        <v>203.29292813142865</v>
      </c>
      <c r="R15" s="4">
        <f>Caldera!M119</f>
        <v>690.19203995238126</v>
      </c>
      <c r="S15" s="4"/>
      <c r="T15" s="4"/>
      <c r="U15" s="4"/>
      <c r="V15" s="4">
        <f>Caldera!P119</f>
        <v>639114.94737114559</v>
      </c>
      <c r="W15" s="4"/>
      <c r="X15" s="4"/>
    </row>
    <row r="16" spans="1:38" x14ac:dyDescent="0.25">
      <c r="A16" s="4" t="s">
        <v>481</v>
      </c>
      <c r="B16" s="4"/>
      <c r="C16" s="4"/>
      <c r="D16" s="4"/>
      <c r="E16" s="4"/>
      <c r="F16" s="4"/>
      <c r="G16" s="4"/>
      <c r="H16" s="4"/>
      <c r="I16" s="4"/>
      <c r="J16" s="4"/>
      <c r="K16" s="4"/>
      <c r="L16" s="4"/>
      <c r="M16" s="4"/>
      <c r="N16" s="4"/>
      <c r="O16" s="4"/>
      <c r="P16" s="4"/>
      <c r="Q16" s="4"/>
      <c r="R16" s="4"/>
      <c r="S16" s="4"/>
      <c r="T16" s="4"/>
      <c r="U16" s="4"/>
      <c r="V16" s="4"/>
      <c r="W16" s="4"/>
      <c r="X16" s="4"/>
      <c r="AG16">
        <v>0</v>
      </c>
      <c r="AH16">
        <v>0</v>
      </c>
      <c r="AI16">
        <v>0</v>
      </c>
      <c r="AJ16">
        <v>0</v>
      </c>
      <c r="AK16">
        <v>0</v>
      </c>
      <c r="AL16">
        <v>0</v>
      </c>
    </row>
    <row r="17" spans="1:38" x14ac:dyDescent="0.25">
      <c r="A17" s="4" t="s">
        <v>790</v>
      </c>
      <c r="B17" s="4"/>
      <c r="C17" s="4"/>
      <c r="D17" s="4"/>
      <c r="E17" s="4"/>
      <c r="F17" s="4"/>
      <c r="G17" s="4"/>
      <c r="H17" s="4"/>
      <c r="I17" s="4"/>
      <c r="J17" s="4"/>
      <c r="K17" s="4"/>
      <c r="L17" s="4"/>
      <c r="M17" s="4"/>
      <c r="N17" s="4"/>
      <c r="O17" s="4"/>
      <c r="P17" s="4"/>
      <c r="Q17" s="4"/>
      <c r="R17" s="4"/>
      <c r="S17" s="4">
        <f>Whirlpool!E15+Whirlpool!E16</f>
        <v>497.78880000000015</v>
      </c>
      <c r="T17" s="4">
        <f>Tabla53[[#This Row],[Pérdidas '[kg']]]</f>
        <v>74.668319999999994</v>
      </c>
      <c r="U17" s="4"/>
      <c r="V17" s="4"/>
      <c r="W17" s="4"/>
      <c r="X17" s="4"/>
      <c r="AG17">
        <v>0</v>
      </c>
      <c r="AH17">
        <f>Fermentador!J83/1000</f>
        <v>12.895806986645431</v>
      </c>
      <c r="AI17">
        <v>0</v>
      </c>
      <c r="AJ17">
        <v>0</v>
      </c>
      <c r="AK17">
        <f>Fermentador!J84/1000</f>
        <v>43.612704227008741</v>
      </c>
      <c r="AL17">
        <v>0</v>
      </c>
    </row>
    <row r="18" spans="1:38" x14ac:dyDescent="0.25">
      <c r="A18" s="4" t="s">
        <v>482</v>
      </c>
      <c r="B18" s="4"/>
      <c r="C18" s="4"/>
      <c r="D18" s="4"/>
      <c r="E18" s="4">
        <f>Fermentador!C88</f>
        <v>27.952080284363685</v>
      </c>
      <c r="F18" s="4"/>
      <c r="G18" s="4">
        <f>Fermentador!C89</f>
        <v>43.612704227008741</v>
      </c>
      <c r="H18" s="4"/>
      <c r="I18" s="4">
        <f>Fermentador!C90</f>
        <v>12.895806986645431</v>
      </c>
      <c r="J18" s="4"/>
      <c r="K18" s="4"/>
      <c r="L18" s="4"/>
      <c r="M18" s="4"/>
      <c r="N18" s="4"/>
      <c r="O18" s="4"/>
      <c r="P18" s="4"/>
      <c r="Q18" s="4"/>
      <c r="R18" s="4"/>
      <c r="S18" s="4"/>
      <c r="T18" s="4"/>
      <c r="U18" s="4"/>
      <c r="V18" s="4"/>
      <c r="W18" s="4"/>
      <c r="X18" s="4"/>
      <c r="AG18">
        <v>0</v>
      </c>
      <c r="AH18">
        <v>0</v>
      </c>
      <c r="AI18">
        <v>0</v>
      </c>
      <c r="AJ18">
        <v>0</v>
      </c>
      <c r="AK18">
        <v>0</v>
      </c>
      <c r="AL18">
        <v>0</v>
      </c>
    </row>
    <row r="19" spans="1:38" x14ac:dyDescent="0.25">
      <c r="A19" s="4" t="s">
        <v>483</v>
      </c>
      <c r="B19" s="4"/>
      <c r="C19" s="4"/>
      <c r="D19" s="4"/>
      <c r="E19" s="4"/>
      <c r="F19" s="4"/>
      <c r="G19" s="4"/>
      <c r="H19" s="4"/>
      <c r="I19" s="4"/>
      <c r="J19" s="4"/>
      <c r="K19" s="4"/>
      <c r="L19" s="4"/>
      <c r="M19" s="4"/>
      <c r="N19" s="4"/>
      <c r="O19" s="4">
        <f>'Secador rotatorio'!H44</f>
        <v>131.0928191519132</v>
      </c>
      <c r="P19" s="4"/>
      <c r="Q19" s="4">
        <f>'Secador rotatorio'!I44</f>
        <v>304.80123816254888</v>
      </c>
      <c r="R19" s="4"/>
      <c r="S19" s="4"/>
      <c r="T19" s="4"/>
      <c r="U19" s="4"/>
      <c r="V19" s="4"/>
      <c r="W19" s="4"/>
      <c r="X19" s="4"/>
      <c r="AD19" s="74"/>
      <c r="AE19" s="74"/>
      <c r="AG19">
        <v>0</v>
      </c>
      <c r="AH19">
        <v>0</v>
      </c>
      <c r="AI19">
        <v>0</v>
      </c>
      <c r="AJ19">
        <v>0</v>
      </c>
      <c r="AK19">
        <v>0</v>
      </c>
      <c r="AL19">
        <f>Fermentador!C91</f>
        <v>9713.6852840008323</v>
      </c>
    </row>
    <row r="20" spans="1:38" x14ac:dyDescent="0.25">
      <c r="A20" s="4" t="s">
        <v>485</v>
      </c>
      <c r="B20" s="4"/>
      <c r="C20" s="4"/>
      <c r="D20" s="4"/>
      <c r="E20" s="4"/>
      <c r="F20" s="4"/>
      <c r="G20" s="4"/>
      <c r="H20" s="4"/>
      <c r="I20" s="4"/>
      <c r="J20" s="4"/>
      <c r="K20" s="4"/>
      <c r="L20" s="4"/>
      <c r="M20" s="4"/>
      <c r="N20" s="4">
        <f>Maduración!F7</f>
        <v>10041.117837568168</v>
      </c>
      <c r="O20" s="4"/>
      <c r="P20" s="4"/>
      <c r="Q20" s="4"/>
      <c r="R20" s="4"/>
      <c r="S20" s="4"/>
      <c r="T20" s="4"/>
      <c r="U20" s="4"/>
      <c r="V20" s="4"/>
      <c r="W20" s="4"/>
      <c r="X20" s="4"/>
    </row>
    <row r="24" spans="1:38" x14ac:dyDescent="0.25">
      <c r="A24" s="239" t="s">
        <v>1249</v>
      </c>
      <c r="B24" s="239" t="s">
        <v>1248</v>
      </c>
      <c r="C24" s="239" t="s">
        <v>212</v>
      </c>
    </row>
    <row r="25" spans="1:38" x14ac:dyDescent="0.25">
      <c r="A25" s="239" t="s">
        <v>211</v>
      </c>
      <c r="B25" s="403">
        <f>SUM(B7:M20)</f>
        <v>652533.15963193739</v>
      </c>
      <c r="C25" s="239">
        <f>(B25-B26)*100/B25</f>
        <v>-0.19615314738962886</v>
      </c>
    </row>
    <row r="26" spans="1:38" x14ac:dyDescent="0.25">
      <c r="A26" s="239" t="s">
        <v>210</v>
      </c>
      <c r="B26" s="239">
        <f>SUM(N7:X20)</f>
        <v>653813.12396231643</v>
      </c>
      <c r="C26" s="239"/>
    </row>
    <row r="27" spans="1:38" x14ac:dyDescent="0.25">
      <c r="A27" s="239"/>
      <c r="B27" s="239">
        <f>B25-B26</f>
        <v>-1279.9643303790363</v>
      </c>
      <c r="C27" s="239"/>
    </row>
    <row r="31" spans="1:38" ht="23.25" x14ac:dyDescent="0.35">
      <c r="A31" s="356" t="s">
        <v>764</v>
      </c>
      <c r="B31" s="357"/>
      <c r="C31" s="357"/>
      <c r="D31" s="357"/>
      <c r="E31" s="357"/>
      <c r="F31" s="357"/>
      <c r="G31" s="357"/>
      <c r="H31" s="357"/>
      <c r="I31" s="357"/>
      <c r="J31" s="357"/>
      <c r="K31" s="357"/>
      <c r="L31" s="357"/>
      <c r="M31" s="357"/>
      <c r="N31" s="357"/>
      <c r="O31" s="357"/>
      <c r="P31" s="357"/>
      <c r="Q31" s="357"/>
      <c r="R31" s="357"/>
      <c r="S31" s="357"/>
      <c r="T31" s="354"/>
    </row>
    <row r="35" spans="1:24" x14ac:dyDescent="0.25">
      <c r="B35" t="s">
        <v>773</v>
      </c>
      <c r="M35" s="91"/>
      <c r="N35" t="s">
        <v>781</v>
      </c>
    </row>
    <row r="36" spans="1:24" x14ac:dyDescent="0.25">
      <c r="A36" s="68" t="s">
        <v>477</v>
      </c>
      <c r="B36" s="79" t="s">
        <v>449</v>
      </c>
      <c r="C36" s="40" t="s">
        <v>774</v>
      </c>
      <c r="D36" s="36" t="s">
        <v>775</v>
      </c>
      <c r="E36" s="389" t="s">
        <v>776</v>
      </c>
      <c r="F36" s="390" t="s">
        <v>777</v>
      </c>
      <c r="G36" s="391" t="s">
        <v>778</v>
      </c>
      <c r="H36" s="391" t="s">
        <v>1192</v>
      </c>
      <c r="I36" s="391" t="s">
        <v>443</v>
      </c>
      <c r="J36" s="391" t="s">
        <v>779</v>
      </c>
      <c r="K36" s="391" t="s">
        <v>780</v>
      </c>
      <c r="L36" s="392" t="s">
        <v>232</v>
      </c>
      <c r="M36" s="393" t="s">
        <v>782</v>
      </c>
      <c r="N36" s="386" t="s">
        <v>504</v>
      </c>
      <c r="O36" s="183" t="s">
        <v>776</v>
      </c>
      <c r="P36" s="197" t="s">
        <v>1244</v>
      </c>
      <c r="Q36" s="197" t="s">
        <v>1245</v>
      </c>
      <c r="R36" s="387" t="s">
        <v>231</v>
      </c>
      <c r="S36" s="383" t="s">
        <v>782</v>
      </c>
      <c r="T36" s="383" t="s">
        <v>783</v>
      </c>
      <c r="U36" s="384" t="s">
        <v>777</v>
      </c>
      <c r="V36" s="354" t="s">
        <v>232</v>
      </c>
      <c r="W36" s="385" t="s">
        <v>779</v>
      </c>
      <c r="X36" s="385" t="s">
        <v>780</v>
      </c>
    </row>
    <row r="37" spans="1:24" x14ac:dyDescent="0.25">
      <c r="A37" s="4" t="s">
        <v>1187</v>
      </c>
      <c r="B37" s="4">
        <f>Cloración!D35</f>
        <v>11639</v>
      </c>
      <c r="C37" s="4"/>
      <c r="D37" s="4"/>
      <c r="E37" s="4"/>
      <c r="F37" s="4"/>
      <c r="G37" s="4"/>
      <c r="H37" s="4">
        <f>Cloración!D36</f>
        <v>1.1639000000000002E-2</v>
      </c>
      <c r="I37" s="4"/>
      <c r="J37" s="4"/>
      <c r="K37" s="4"/>
      <c r="L37" s="4"/>
      <c r="M37" s="4"/>
      <c r="N37" s="4"/>
      <c r="O37" s="4"/>
      <c r="P37" s="4"/>
      <c r="Q37" s="4"/>
      <c r="R37" s="4"/>
      <c r="S37" s="4"/>
      <c r="T37" s="4"/>
      <c r="U37" s="4"/>
      <c r="V37" s="4"/>
      <c r="W37" s="4"/>
      <c r="X37" s="4"/>
    </row>
    <row r="38" spans="1:24" x14ac:dyDescent="0.25">
      <c r="A38" s="4" t="s">
        <v>1188</v>
      </c>
      <c r="B38" s="4"/>
      <c r="C38" s="4"/>
      <c r="D38" s="4"/>
      <c r="E38" s="4"/>
      <c r="F38" s="4"/>
      <c r="G38" s="4"/>
      <c r="H38" s="4"/>
      <c r="I38" s="4"/>
      <c r="J38" s="4">
        <f>'Canaleta de Parshall '!D50</f>
        <v>0.17890306900000003</v>
      </c>
      <c r="K38" s="4"/>
      <c r="L38" s="4"/>
      <c r="M38" s="4"/>
      <c r="N38" s="4"/>
      <c r="O38" s="4"/>
      <c r="P38" s="4"/>
      <c r="Q38" s="4"/>
      <c r="R38" s="4"/>
      <c r="S38" s="4"/>
      <c r="T38" s="4"/>
      <c r="U38" s="4"/>
      <c r="V38" s="4"/>
      <c r="W38" s="4"/>
      <c r="X38" s="4"/>
    </row>
    <row r="39" spans="1:24" x14ac:dyDescent="0.25">
      <c r="A39" s="4" t="s">
        <v>1189</v>
      </c>
      <c r="B39" s="4"/>
      <c r="C39" s="4"/>
      <c r="D39" s="4"/>
      <c r="E39" s="4"/>
      <c r="F39" s="4"/>
      <c r="G39" s="4"/>
      <c r="H39" s="4"/>
      <c r="I39" s="4"/>
      <c r="J39" s="4"/>
      <c r="K39" s="4">
        <f>Floculación!D36</f>
        <v>0.17890306900000003</v>
      </c>
      <c r="L39" s="4"/>
      <c r="M39" s="4"/>
      <c r="N39" s="4"/>
      <c r="O39" s="4"/>
      <c r="P39" s="4"/>
      <c r="Q39" s="4"/>
      <c r="R39" s="4"/>
      <c r="S39" s="4"/>
      <c r="T39" s="4"/>
      <c r="U39" s="4"/>
      <c r="V39" s="4"/>
      <c r="W39" s="4"/>
      <c r="X39" s="4"/>
    </row>
    <row r="40" spans="1:24" x14ac:dyDescent="0.25">
      <c r="A40" s="4" t="s">
        <v>1190</v>
      </c>
      <c r="B40" s="4"/>
      <c r="C40" s="4"/>
      <c r="D40" s="4"/>
      <c r="E40" s="4"/>
      <c r="F40" s="4"/>
      <c r="G40" s="4"/>
      <c r="H40" s="4"/>
      <c r="I40" s="4"/>
      <c r="J40" s="4"/>
      <c r="K40" s="4"/>
      <c r="L40" s="4"/>
      <c r="M40" s="4"/>
      <c r="N40" s="4"/>
      <c r="O40" s="4"/>
      <c r="P40" s="4">
        <f>Sedimentador!K36</f>
        <v>327.69999999999891</v>
      </c>
      <c r="Q40" s="4"/>
      <c r="R40" s="4"/>
      <c r="S40" s="4"/>
      <c r="T40" s="4"/>
      <c r="U40" s="4"/>
      <c r="V40" s="4"/>
      <c r="W40" s="4">
        <f>J38*0.5</f>
        <v>8.9451534500000013E-2</v>
      </c>
      <c r="X40" s="4">
        <f>0.5*K39</f>
        <v>8.9451534500000013E-2</v>
      </c>
    </row>
    <row r="41" spans="1:24" x14ac:dyDescent="0.25">
      <c r="A41" s="4" t="s">
        <v>1191</v>
      </c>
      <c r="B41" s="4"/>
      <c r="C41" s="4"/>
      <c r="D41" s="4"/>
      <c r="E41" s="4"/>
      <c r="F41" s="4"/>
      <c r="G41" s="4"/>
      <c r="H41" s="4"/>
      <c r="I41" s="4"/>
      <c r="J41" s="4"/>
      <c r="K41" s="4"/>
      <c r="L41" s="4"/>
      <c r="M41" s="4"/>
      <c r="N41" s="4"/>
      <c r="O41" s="4"/>
      <c r="P41" s="4">
        <f>'Filtro lecho'!K31</f>
        <v>11.299999999999272</v>
      </c>
      <c r="Q41" s="4"/>
      <c r="R41" s="4"/>
      <c r="S41" s="4"/>
      <c r="T41" s="4"/>
      <c r="U41" s="4"/>
      <c r="V41" s="4"/>
      <c r="W41" s="4">
        <f>J38*0.4</f>
        <v>7.1561227600000013E-2</v>
      </c>
      <c r="X41" s="4">
        <f>0.4*K39</f>
        <v>7.1561227600000013E-2</v>
      </c>
    </row>
    <row r="42" spans="1:24" x14ac:dyDescent="0.25">
      <c r="A42" s="4" t="s">
        <v>478</v>
      </c>
      <c r="B42" s="388"/>
      <c r="C42" s="4">
        <f>'Reactor Batch 1'!C134</f>
        <v>2628</v>
      </c>
      <c r="D42" s="4"/>
      <c r="E42" s="4"/>
      <c r="F42" s="4"/>
      <c r="G42" s="4"/>
      <c r="H42" s="4"/>
      <c r="I42" s="4"/>
      <c r="J42" s="4"/>
      <c r="K42" s="4"/>
      <c r="L42" s="4"/>
      <c r="M42" s="4"/>
      <c r="N42" s="4"/>
      <c r="O42" s="4"/>
      <c r="P42" s="4"/>
      <c r="Q42" s="4"/>
      <c r="R42" s="4"/>
      <c r="S42" s="4"/>
      <c r="T42" s="4"/>
      <c r="U42" s="4"/>
      <c r="V42" s="4"/>
      <c r="W42" s="4"/>
      <c r="X42" s="4"/>
    </row>
    <row r="43" spans="1:24" x14ac:dyDescent="0.25">
      <c r="A43" s="4" t="s">
        <v>479</v>
      </c>
      <c r="B43" s="4"/>
      <c r="C43" s="4"/>
      <c r="D43" s="4"/>
      <c r="E43" s="4"/>
      <c r="F43" s="4"/>
      <c r="G43" s="4"/>
      <c r="H43" s="4"/>
      <c r="I43" s="4"/>
      <c r="J43" s="4"/>
      <c r="K43" s="4"/>
      <c r="L43" s="4"/>
      <c r="M43" s="4"/>
      <c r="N43" s="4"/>
      <c r="O43" s="4"/>
      <c r="P43" s="4"/>
      <c r="Q43" s="4"/>
      <c r="R43" s="4"/>
      <c r="S43" s="4">
        <f>'Filtro prensa'!L61</f>
        <v>1040.6880000000001</v>
      </c>
      <c r="T43" s="4">
        <f>Tabla3941[Masa de mosto acumulada '[kg']]</f>
        <v>156.10319999999999</v>
      </c>
      <c r="U43" s="4"/>
      <c r="V43" s="4"/>
      <c r="W43" s="4"/>
      <c r="X43" s="4"/>
    </row>
    <row r="44" spans="1:24" x14ac:dyDescent="0.25">
      <c r="A44" s="4" t="s">
        <v>480</v>
      </c>
      <c r="B44" s="4"/>
      <c r="C44" s="4"/>
      <c r="D44" s="4">
        <f>Cocción!D41</f>
        <v>65.448744747136473</v>
      </c>
      <c r="E44" s="4"/>
      <c r="F44" s="4"/>
      <c r="G44" s="4"/>
      <c r="H44" s="4"/>
      <c r="I44" s="4"/>
      <c r="J44" s="4"/>
      <c r="K44" s="4"/>
      <c r="L44" s="4"/>
      <c r="M44" s="4"/>
      <c r="N44" s="4"/>
      <c r="O44" s="4"/>
      <c r="P44" s="4"/>
      <c r="Q44" s="4">
        <f>Cocción!D38</f>
        <v>1287.7997072264677</v>
      </c>
      <c r="R44" s="4"/>
      <c r="S44" s="4"/>
      <c r="T44" s="4"/>
      <c r="U44" s="4"/>
      <c r="V44" s="4"/>
      <c r="W44" s="4"/>
      <c r="X44" s="4"/>
    </row>
    <row r="45" spans="1:24" x14ac:dyDescent="0.25">
      <c r="A45" s="4" t="s">
        <v>431</v>
      </c>
      <c r="B45" s="4"/>
      <c r="C45" s="4"/>
      <c r="D45" s="4"/>
      <c r="E45" s="4"/>
      <c r="F45" s="4"/>
      <c r="G45" s="4"/>
      <c r="H45" s="4"/>
      <c r="I45" s="4"/>
      <c r="J45" s="4"/>
      <c r="K45" s="4"/>
      <c r="L45" s="4">
        <f>Caldera!K120</f>
        <v>639631.96395380085</v>
      </c>
      <c r="M45" s="4">
        <f>Caldera!J120</f>
        <v>448.1582625853971</v>
      </c>
      <c r="N45" s="4"/>
      <c r="O45" s="4"/>
      <c r="P45" s="4"/>
      <c r="Q45" s="4">
        <f>Caldera!N120</f>
        <v>242.00546179611439</v>
      </c>
      <c r="R45" s="4">
        <f>Caldera!M120</f>
        <v>821.62348140656127</v>
      </c>
      <c r="S45" s="4"/>
      <c r="T45" s="4"/>
      <c r="U45" s="4"/>
      <c r="V45" s="4">
        <f>Caldera!P120</f>
        <v>639016.49327318347</v>
      </c>
      <c r="W45" s="4"/>
      <c r="X45" s="4"/>
    </row>
    <row r="46" spans="1:24" x14ac:dyDescent="0.25">
      <c r="A46" s="4" t="s">
        <v>481</v>
      </c>
      <c r="B46" s="4"/>
      <c r="C46" s="4"/>
      <c r="D46" s="4"/>
      <c r="E46" s="4"/>
      <c r="F46" s="4"/>
      <c r="G46" s="4"/>
      <c r="H46" s="4"/>
      <c r="I46" s="4"/>
      <c r="J46" s="4"/>
      <c r="K46" s="4"/>
      <c r="L46" s="4"/>
      <c r="M46" s="4"/>
      <c r="N46" s="4"/>
      <c r="O46" s="4"/>
      <c r="P46" s="4"/>
      <c r="Q46" s="4"/>
      <c r="R46" s="4"/>
      <c r="S46" s="4"/>
      <c r="T46" s="4"/>
      <c r="U46" s="4"/>
      <c r="V46" s="4"/>
      <c r="W46" s="4"/>
      <c r="X46" s="4"/>
    </row>
    <row r="47" spans="1:24" x14ac:dyDescent="0.25">
      <c r="A47" s="4" t="s">
        <v>484</v>
      </c>
      <c r="B47" s="4"/>
      <c r="C47" s="4"/>
      <c r="D47" s="4"/>
      <c r="E47" s="4"/>
      <c r="F47" s="4"/>
      <c r="G47" s="4"/>
      <c r="H47" s="4"/>
      <c r="I47" s="4"/>
      <c r="J47" s="4"/>
      <c r="K47" s="4"/>
      <c r="L47" s="4"/>
      <c r="M47" s="4"/>
      <c r="N47" s="4"/>
      <c r="O47" s="4"/>
      <c r="P47" s="4"/>
      <c r="Q47" s="4"/>
      <c r="R47" s="4"/>
      <c r="S47" s="4">
        <f>Whirlpool!E26+Whirlpool!E27</f>
        <v>75.96074474713653</v>
      </c>
      <c r="T47" s="4">
        <f>Whirlpool!E28</f>
        <v>11.394111712070469</v>
      </c>
      <c r="U47" s="4"/>
      <c r="V47" s="4"/>
      <c r="W47" s="4"/>
      <c r="X47" s="4"/>
    </row>
    <row r="48" spans="1:24" x14ac:dyDescent="0.25">
      <c r="A48" s="4" t="s">
        <v>482</v>
      </c>
      <c r="B48" s="4"/>
      <c r="C48" s="4"/>
      <c r="D48" s="4"/>
      <c r="E48" s="4">
        <f>Fermentador!C112</f>
        <v>34.491457080000004</v>
      </c>
      <c r="F48" s="4"/>
      <c r="G48" s="4">
        <f>Fermentador!C113</f>
        <v>35.256708904957819</v>
      </c>
      <c r="H48" s="4"/>
      <c r="I48" s="4">
        <f>Fermentador!C114</f>
        <v>10.425029153342715</v>
      </c>
      <c r="J48" s="4"/>
      <c r="K48" s="4"/>
      <c r="L48" s="4"/>
      <c r="M48" s="4"/>
      <c r="N48" s="4"/>
      <c r="O48" s="4"/>
      <c r="P48" s="4"/>
      <c r="Q48" s="4"/>
      <c r="R48" s="4"/>
      <c r="S48" s="4"/>
      <c r="T48" s="4"/>
      <c r="U48" s="4"/>
      <c r="V48" s="4"/>
      <c r="W48" s="4"/>
      <c r="X48" s="4"/>
    </row>
    <row r="49" spans="1:24" x14ac:dyDescent="0.25">
      <c r="A49" s="4" t="s">
        <v>483</v>
      </c>
      <c r="B49" s="4"/>
      <c r="C49" s="4"/>
      <c r="D49" s="4"/>
      <c r="E49" s="4"/>
      <c r="F49" s="4"/>
      <c r="G49" s="4"/>
      <c r="H49" s="4"/>
      <c r="I49" s="4"/>
      <c r="J49" s="310"/>
      <c r="K49" s="310"/>
      <c r="L49" s="4"/>
      <c r="M49" s="4"/>
      <c r="N49" s="4"/>
      <c r="O49" s="4">
        <f>'Secador rotatorio'!H45</f>
        <v>140.70275907458412</v>
      </c>
      <c r="P49" s="4"/>
      <c r="Q49" s="4">
        <f>'Secador rotatorio'!I45</f>
        <v>327.14511333471586</v>
      </c>
      <c r="R49" s="4"/>
      <c r="S49" s="4"/>
      <c r="T49" s="4"/>
      <c r="U49" s="4"/>
      <c r="V49" s="4"/>
      <c r="W49" s="4"/>
      <c r="X49" s="4"/>
    </row>
    <row r="50" spans="1:24" x14ac:dyDescent="0.25">
      <c r="A50" s="4" t="s">
        <v>485</v>
      </c>
      <c r="B50" s="4"/>
      <c r="C50" s="4"/>
      <c r="D50" s="4"/>
      <c r="E50" s="4"/>
      <c r="F50" s="4">
        <f>Maduración!E8</f>
        <v>3297.6414206280729</v>
      </c>
      <c r="G50" s="4"/>
      <c r="H50" s="4"/>
      <c r="I50" s="4"/>
      <c r="J50" s="4"/>
      <c r="K50" s="4"/>
      <c r="L50" s="4"/>
      <c r="M50" s="4"/>
      <c r="N50" s="4">
        <f>Maduración!F8</f>
        <v>11996.201268242476</v>
      </c>
      <c r="O50" s="4"/>
      <c r="P50" s="4"/>
      <c r="Q50" s="4"/>
      <c r="R50" s="4"/>
      <c r="S50" s="4"/>
      <c r="T50" s="4"/>
      <c r="U50" s="4">
        <f>Maduración!G8</f>
        <v>3297.6414206280729</v>
      </c>
      <c r="V50" s="4"/>
      <c r="W50" s="4"/>
      <c r="X50" s="4"/>
    </row>
    <row r="53" spans="1:24" x14ac:dyDescent="0.25">
      <c r="A53" s="239" t="s">
        <v>1250</v>
      </c>
      <c r="B53" s="239" t="s">
        <v>1248</v>
      </c>
      <c r="C53" s="239" t="s">
        <v>212</v>
      </c>
    </row>
    <row r="54" spans="1:24" x14ac:dyDescent="0.25">
      <c r="A54" s="239" t="s">
        <v>211</v>
      </c>
      <c r="B54" s="239">
        <f>SUM(B37:M50)</f>
        <v>657790.75502203777</v>
      </c>
      <c r="C54" s="239">
        <f>100*(B54-B55)/B54</f>
        <v>-0.14629660534009345</v>
      </c>
    </row>
    <row r="55" spans="1:24" x14ac:dyDescent="0.25">
      <c r="A55" s="239" t="s">
        <v>210</v>
      </c>
      <c r="B55" s="239">
        <f>SUM(N37:X50)</f>
        <v>658753.08056687599</v>
      </c>
      <c r="C55" s="239"/>
    </row>
    <row r="56" spans="1:24" x14ac:dyDescent="0.25">
      <c r="A56" s="239"/>
      <c r="B56" s="239">
        <f>B54-B55</f>
        <v>-962.3255448382115</v>
      </c>
      <c r="C56" s="239"/>
    </row>
    <row r="59" spans="1:24" ht="23.25" x14ac:dyDescent="0.35">
      <c r="A59" s="356" t="s">
        <v>765</v>
      </c>
      <c r="B59" s="357"/>
      <c r="C59" s="357"/>
      <c r="D59" s="357"/>
      <c r="E59" s="357"/>
      <c r="F59" s="357"/>
      <c r="G59" s="357"/>
      <c r="H59" s="357"/>
      <c r="I59" s="357"/>
      <c r="J59" s="357"/>
      <c r="K59" s="357"/>
      <c r="L59" s="357"/>
      <c r="M59" s="357"/>
      <c r="N59" s="357"/>
      <c r="O59" s="357"/>
      <c r="P59" s="357"/>
      <c r="Q59" s="357"/>
      <c r="R59" s="357"/>
      <c r="S59" s="357"/>
      <c r="T59" s="354"/>
    </row>
    <row r="61" spans="1:24" x14ac:dyDescent="0.25">
      <c r="P61" s="354"/>
    </row>
    <row r="62" spans="1:24" x14ac:dyDescent="0.25">
      <c r="P62" s="354"/>
    </row>
    <row r="63" spans="1:24" x14ac:dyDescent="0.25">
      <c r="B63" t="s">
        <v>773</v>
      </c>
      <c r="M63" s="91"/>
      <c r="N63" t="s">
        <v>781</v>
      </c>
      <c r="P63" s="354"/>
    </row>
    <row r="64" spans="1:24" x14ac:dyDescent="0.25">
      <c r="A64" s="73" t="s">
        <v>477</v>
      </c>
      <c r="B64" s="79" t="s">
        <v>449</v>
      </c>
      <c r="C64" s="40" t="s">
        <v>774</v>
      </c>
      <c r="D64" s="36" t="s">
        <v>775</v>
      </c>
      <c r="E64" s="389" t="s">
        <v>776</v>
      </c>
      <c r="F64" s="390" t="s">
        <v>777</v>
      </c>
      <c r="G64" s="391" t="s">
        <v>778</v>
      </c>
      <c r="H64" s="391" t="s">
        <v>1192</v>
      </c>
      <c r="I64" s="391" t="s">
        <v>443</v>
      </c>
      <c r="J64" s="391" t="s">
        <v>779</v>
      </c>
      <c r="K64" s="391" t="s">
        <v>780</v>
      </c>
      <c r="L64" s="392" t="s">
        <v>232</v>
      </c>
      <c r="M64" s="393" t="s">
        <v>782</v>
      </c>
      <c r="N64" s="395" t="s">
        <v>504</v>
      </c>
      <c r="O64" s="396" t="s">
        <v>776</v>
      </c>
      <c r="P64" s="79" t="s">
        <v>1244</v>
      </c>
      <c r="Q64" s="397" t="s">
        <v>1245</v>
      </c>
      <c r="R64" s="398" t="s">
        <v>231</v>
      </c>
      <c r="S64" s="393" t="s">
        <v>782</v>
      </c>
      <c r="T64" s="393" t="s">
        <v>783</v>
      </c>
      <c r="U64" s="390" t="s">
        <v>777</v>
      </c>
      <c r="V64" s="355" t="s">
        <v>232</v>
      </c>
      <c r="W64" s="391" t="s">
        <v>779</v>
      </c>
      <c r="X64" s="391" t="s">
        <v>780</v>
      </c>
    </row>
    <row r="65" spans="1:24" x14ac:dyDescent="0.25">
      <c r="A65" s="4" t="s">
        <v>1187</v>
      </c>
      <c r="B65" s="206">
        <f>Cloración!D39</f>
        <v>8755</v>
      </c>
      <c r="C65" s="206"/>
      <c r="D65" s="206"/>
      <c r="E65" s="206"/>
      <c r="F65" s="206"/>
      <c r="G65" s="206"/>
      <c r="H65" s="206">
        <f>Cloración!D40</f>
        <v>8.7550000000000006E-3</v>
      </c>
      <c r="I65" s="206"/>
      <c r="J65" s="206"/>
      <c r="K65" s="206"/>
      <c r="L65" s="206"/>
      <c r="M65" s="206"/>
      <c r="N65" s="206"/>
      <c r="O65" s="206"/>
      <c r="P65" s="206"/>
      <c r="Q65" s="206"/>
      <c r="R65" s="206"/>
      <c r="S65" s="206"/>
      <c r="T65" s="206"/>
      <c r="U65" s="206"/>
      <c r="V65" s="4"/>
      <c r="W65" s="4"/>
      <c r="X65" s="4"/>
    </row>
    <row r="66" spans="1:24" x14ac:dyDescent="0.25">
      <c r="A66" s="4" t="s">
        <v>1188</v>
      </c>
      <c r="B66" s="206"/>
      <c r="C66" s="206"/>
      <c r="D66" s="206"/>
      <c r="E66" s="206"/>
      <c r="F66" s="206"/>
      <c r="G66" s="206"/>
      <c r="H66" s="206"/>
      <c r="I66" s="206"/>
      <c r="J66" s="206">
        <f>'Canaleta de Parshall '!D54</f>
        <v>0.134573105</v>
      </c>
      <c r="K66" s="206"/>
      <c r="L66" s="206"/>
      <c r="M66" s="206"/>
      <c r="N66" s="206"/>
      <c r="O66" s="206"/>
      <c r="P66" s="206"/>
      <c r="Q66" s="206"/>
      <c r="R66" s="206"/>
      <c r="S66" s="206"/>
      <c r="T66" s="206"/>
      <c r="U66" s="206"/>
      <c r="V66" s="4"/>
      <c r="W66" s="4"/>
      <c r="X66" s="4"/>
    </row>
    <row r="67" spans="1:24" x14ac:dyDescent="0.25">
      <c r="A67" s="4" t="s">
        <v>1189</v>
      </c>
      <c r="B67" s="206"/>
      <c r="C67" s="206"/>
      <c r="D67" s="206"/>
      <c r="E67" s="206"/>
      <c r="F67" s="206"/>
      <c r="G67" s="206"/>
      <c r="H67" s="206"/>
      <c r="I67" s="206"/>
      <c r="J67" s="206"/>
      <c r="K67" s="206">
        <f>Floculación!D40</f>
        <v>0.134573105</v>
      </c>
      <c r="L67" s="206"/>
      <c r="M67" s="206"/>
      <c r="N67" s="206"/>
      <c r="O67" s="206"/>
      <c r="P67" s="206"/>
      <c r="Q67" s="206"/>
      <c r="R67" s="206"/>
      <c r="S67" s="206"/>
      <c r="T67" s="206"/>
      <c r="U67" s="206"/>
      <c r="V67" s="4"/>
      <c r="W67" s="4"/>
      <c r="X67" s="4"/>
    </row>
    <row r="68" spans="1:24" x14ac:dyDescent="0.25">
      <c r="A68" s="4" t="s">
        <v>1190</v>
      </c>
      <c r="B68" s="206"/>
      <c r="C68" s="206"/>
      <c r="D68" s="206"/>
      <c r="E68" s="206"/>
      <c r="F68" s="206"/>
      <c r="G68" s="206"/>
      <c r="H68" s="206"/>
      <c r="I68" s="206"/>
      <c r="J68" s="206"/>
      <c r="K68" s="206"/>
      <c r="L68" s="206"/>
      <c r="M68" s="206"/>
      <c r="N68" s="206"/>
      <c r="O68" s="206"/>
      <c r="P68" s="206">
        <f>Sedimentador!K46</f>
        <v>246.5</v>
      </c>
      <c r="Q68" s="206"/>
      <c r="R68" s="206"/>
      <c r="S68" s="206"/>
      <c r="T68" s="206"/>
      <c r="U68" s="206"/>
      <c r="V68" s="4"/>
      <c r="W68" s="4">
        <f>0.5*J66</f>
        <v>6.7286552499999999E-2</v>
      </c>
      <c r="X68" s="4">
        <f>0.5*J66</f>
        <v>6.7286552499999999E-2</v>
      </c>
    </row>
    <row r="69" spans="1:24" x14ac:dyDescent="0.25">
      <c r="A69" s="4" t="s">
        <v>1191</v>
      </c>
      <c r="B69" s="206"/>
      <c r="C69" s="206"/>
      <c r="D69" s="206"/>
      <c r="E69" s="206"/>
      <c r="F69" s="206"/>
      <c r="G69" s="206"/>
      <c r="H69" s="206"/>
      <c r="I69" s="206"/>
      <c r="J69" s="206"/>
      <c r="K69" s="206"/>
      <c r="L69" s="206"/>
      <c r="M69" s="206"/>
      <c r="N69" s="206"/>
      <c r="O69" s="206"/>
      <c r="P69" s="206">
        <f>'Filtro lecho'!K40</f>
        <v>8.499999999998181</v>
      </c>
      <c r="Q69" s="206"/>
      <c r="R69" s="206"/>
      <c r="S69" s="206"/>
      <c r="T69" s="206"/>
      <c r="U69" s="206"/>
      <c r="V69" s="4"/>
      <c r="W69" s="4">
        <f>J66*0.4</f>
        <v>5.3829241999999999E-2</v>
      </c>
      <c r="X69" s="4">
        <f>0.4*K67</f>
        <v>5.3829241999999999E-2</v>
      </c>
    </row>
    <row r="70" spans="1:24" x14ac:dyDescent="0.25">
      <c r="A70" s="4" t="s">
        <v>478</v>
      </c>
      <c r="B70" s="388"/>
      <c r="C70" s="4">
        <f>'Reactor Batch 1'!C158</f>
        <v>1800</v>
      </c>
      <c r="D70" s="4"/>
      <c r="E70" s="4"/>
      <c r="F70" s="4"/>
      <c r="G70" s="4"/>
      <c r="H70" s="4"/>
      <c r="I70" s="4"/>
      <c r="J70" s="4"/>
      <c r="K70" s="4"/>
      <c r="L70" s="4"/>
      <c r="M70" s="4"/>
      <c r="N70" s="4"/>
      <c r="O70" s="4"/>
      <c r="P70" s="4"/>
      <c r="Q70" s="4"/>
      <c r="R70" s="4"/>
      <c r="S70" s="4"/>
      <c r="T70" s="4"/>
      <c r="U70" s="4"/>
      <c r="V70" s="4"/>
      <c r="W70" s="4"/>
      <c r="X70" s="4"/>
    </row>
    <row r="71" spans="1:24" x14ac:dyDescent="0.25">
      <c r="A71" s="4" t="s">
        <v>479</v>
      </c>
      <c r="B71" s="4"/>
      <c r="C71" s="4"/>
      <c r="D71" s="4"/>
      <c r="E71" s="4"/>
      <c r="F71" s="4"/>
      <c r="G71" s="4"/>
      <c r="H71" s="4"/>
      <c r="I71" s="4"/>
      <c r="J71" s="4"/>
      <c r="K71" s="4"/>
      <c r="L71" s="4"/>
      <c r="M71" s="4"/>
      <c r="N71" s="4"/>
      <c r="O71" s="4"/>
      <c r="P71" s="4"/>
      <c r="Q71" s="4"/>
      <c r="R71" s="4"/>
      <c r="S71" s="4">
        <f>'Filtro prensa'!L77</f>
        <v>758.39186844062476</v>
      </c>
      <c r="T71" s="4">
        <f>Tabla394142[Masa de mosto acumulada '[kg'] (Mh)]</f>
        <v>113.75878026609372</v>
      </c>
      <c r="U71" s="4"/>
      <c r="V71" s="4"/>
      <c r="W71" s="4"/>
      <c r="X71" s="4"/>
    </row>
    <row r="72" spans="1:24" x14ac:dyDescent="0.25">
      <c r="A72" s="4" t="s">
        <v>480</v>
      </c>
      <c r="B72" s="4"/>
      <c r="C72" s="4"/>
      <c r="D72" s="4">
        <f>Cocción!D60</f>
        <v>496.34084361478426</v>
      </c>
      <c r="E72" s="4"/>
      <c r="F72" s="4"/>
      <c r="G72" s="4"/>
      <c r="H72" s="4"/>
      <c r="I72" s="4"/>
      <c r="J72" s="4"/>
      <c r="K72" s="4"/>
      <c r="L72" s="4"/>
      <c r="M72" s="4"/>
      <c r="N72" s="4"/>
      <c r="O72" s="4"/>
      <c r="P72" s="4"/>
      <c r="Q72" s="4">
        <f>Cocción!D57</f>
        <v>1019.308</v>
      </c>
      <c r="R72" s="4"/>
      <c r="S72" s="4"/>
      <c r="T72" s="4"/>
      <c r="U72" s="4"/>
      <c r="V72" s="4"/>
      <c r="W72" s="4"/>
      <c r="X72" s="4"/>
    </row>
    <row r="73" spans="1:24" x14ac:dyDescent="0.25">
      <c r="A73" s="4" t="s">
        <v>431</v>
      </c>
      <c r="B73" s="4"/>
      <c r="C73" s="4"/>
      <c r="D73" s="4"/>
      <c r="E73" s="4"/>
      <c r="F73" s="4"/>
      <c r="G73" s="4"/>
      <c r="H73" s="4"/>
      <c r="I73" s="4"/>
      <c r="J73" s="4"/>
      <c r="K73" s="4"/>
      <c r="L73" s="4">
        <f>Caldera!K121</f>
        <v>639631.96395380085</v>
      </c>
      <c r="M73" s="4">
        <f>Caldera!J121</f>
        <v>331.4208863174606</v>
      </c>
      <c r="N73" s="4"/>
      <c r="O73" s="4"/>
      <c r="P73" s="4"/>
      <c r="Q73" s="4">
        <f>Caldera!N121</f>
        <v>178.9672786114287</v>
      </c>
      <c r="R73" s="4">
        <f>Caldera!M121</f>
        <v>607.60495824867769</v>
      </c>
      <c r="S73" s="4"/>
      <c r="T73" s="4"/>
      <c r="U73" s="4"/>
      <c r="V73" s="4">
        <f>Caldera!P121</f>
        <v>639176.81260325818</v>
      </c>
      <c r="W73" s="4"/>
      <c r="X73" s="4"/>
    </row>
    <row r="74" spans="1:24" x14ac:dyDescent="0.25">
      <c r="A74" s="4" t="s">
        <v>481</v>
      </c>
      <c r="B74" s="4"/>
      <c r="C74" s="4"/>
      <c r="D74" s="4"/>
      <c r="E74" s="4"/>
      <c r="F74" s="4"/>
      <c r="G74" s="4"/>
      <c r="H74" s="4"/>
      <c r="I74" s="4"/>
      <c r="J74" s="4"/>
      <c r="K74" s="4"/>
      <c r="L74" s="4"/>
      <c r="M74" s="4"/>
      <c r="N74" s="4"/>
      <c r="O74" s="4"/>
      <c r="P74" s="4"/>
      <c r="Q74" s="4"/>
      <c r="R74" s="4"/>
      <c r="S74" s="4"/>
      <c r="T74" s="4"/>
      <c r="U74" s="4"/>
      <c r="V74" s="4"/>
      <c r="W74" s="4"/>
      <c r="X74" s="4"/>
    </row>
    <row r="75" spans="1:24" x14ac:dyDescent="0.25">
      <c r="A75" s="4" t="s">
        <v>484</v>
      </c>
      <c r="B75" s="4"/>
      <c r="C75" s="4"/>
      <c r="D75" s="4"/>
      <c r="E75" s="4"/>
      <c r="F75" s="4"/>
      <c r="G75" s="4"/>
      <c r="H75" s="4"/>
      <c r="I75" s="4"/>
      <c r="J75" s="4"/>
      <c r="K75" s="4"/>
      <c r="L75" s="4"/>
      <c r="M75" s="4"/>
      <c r="N75" s="4"/>
      <c r="O75" s="4"/>
      <c r="P75" s="4"/>
      <c r="Q75" s="4"/>
      <c r="R75" s="4"/>
      <c r="S75" s="4">
        <f>Whirlpool!E38+Whirlpool!E37</f>
        <v>504.0013675384269</v>
      </c>
      <c r="T75" s="4">
        <f>Whirlpool!E39</f>
        <v>75.600205130763982</v>
      </c>
      <c r="U75" s="4"/>
      <c r="V75" s="4"/>
      <c r="W75" s="4"/>
      <c r="X75" s="4"/>
    </row>
    <row r="76" spans="1:24" x14ac:dyDescent="0.25">
      <c r="A76" s="4" t="s">
        <v>482</v>
      </c>
      <c r="B76" s="4"/>
      <c r="C76" s="4"/>
      <c r="D76" s="4"/>
      <c r="E76" s="4">
        <f>Fermentador!C138</f>
        <v>28.154564999999998</v>
      </c>
      <c r="F76" s="4"/>
      <c r="G76" s="4">
        <f>Fermentador!C139</f>
        <v>22.151965995350523</v>
      </c>
      <c r="H76" s="4"/>
      <c r="I76" s="4">
        <f>Fermentador!C140</f>
        <v>7.5506010850982026</v>
      </c>
      <c r="J76" s="4"/>
      <c r="K76" s="4"/>
      <c r="L76" s="4"/>
      <c r="M76" s="4"/>
      <c r="N76" s="4"/>
      <c r="O76" s="4"/>
      <c r="P76" s="4"/>
      <c r="Q76" s="4"/>
      <c r="R76" s="4"/>
      <c r="S76" s="4"/>
      <c r="T76" s="4"/>
      <c r="U76" s="4"/>
      <c r="V76" s="4"/>
      <c r="W76" s="4"/>
      <c r="X76" s="4"/>
    </row>
    <row r="77" spans="1:24" x14ac:dyDescent="0.25">
      <c r="A77" s="4" t="s">
        <v>483</v>
      </c>
      <c r="B77" s="4"/>
      <c r="C77" s="4"/>
      <c r="D77" s="4"/>
      <c r="E77" s="4"/>
      <c r="F77" s="4"/>
      <c r="G77" s="4"/>
      <c r="H77" s="4"/>
      <c r="I77" s="310"/>
      <c r="J77" s="310"/>
      <c r="K77" s="310"/>
      <c r="L77" s="4"/>
      <c r="M77" s="4"/>
      <c r="N77" s="4"/>
      <c r="O77" s="4">
        <f>'Secador rotatorio'!H46</f>
        <v>105.92072428402976</v>
      </c>
      <c r="P77" s="4"/>
      <c r="Q77" s="4">
        <f>'Secador rotatorio'!I46</f>
        <v>246.27411415597021</v>
      </c>
      <c r="R77" s="4"/>
      <c r="S77" s="4"/>
      <c r="T77" s="4"/>
      <c r="U77" s="4"/>
      <c r="V77" s="4"/>
      <c r="W77" s="4"/>
      <c r="X77" s="4"/>
    </row>
    <row r="78" spans="1:24" x14ac:dyDescent="0.25">
      <c r="A78" s="4" t="s">
        <v>485</v>
      </c>
      <c r="B78" s="4"/>
      <c r="C78" s="4"/>
      <c r="D78" s="4"/>
      <c r="E78" s="4"/>
      <c r="F78" s="4">
        <f>Maduración!E9</f>
        <v>602.79175195045605</v>
      </c>
      <c r="G78" s="4"/>
      <c r="H78" s="4"/>
      <c r="I78" s="4"/>
      <c r="J78" s="4"/>
      <c r="K78" s="4"/>
      <c r="L78" s="4"/>
      <c r="M78" s="4"/>
      <c r="N78" s="4">
        <f>Maduración!F9</f>
        <v>9757.4849244147663</v>
      </c>
      <c r="O78" s="4"/>
      <c r="P78" s="4"/>
      <c r="Q78" s="4"/>
      <c r="R78" s="4"/>
      <c r="S78" s="4"/>
      <c r="T78" s="4"/>
      <c r="U78" s="4">
        <f>Maduración!G9</f>
        <v>602.79175195045605</v>
      </c>
      <c r="V78" s="4"/>
      <c r="W78" s="4"/>
      <c r="X78" s="4"/>
    </row>
    <row r="81" spans="1:4" x14ac:dyDescent="0.25">
      <c r="A81" s="355" t="s">
        <v>1251</v>
      </c>
      <c r="B81" s="355" t="s">
        <v>1248</v>
      </c>
      <c r="C81" s="355" t="s">
        <v>212</v>
      </c>
    </row>
    <row r="82" spans="1:4" x14ac:dyDescent="0.25">
      <c r="A82" s="355" t="s">
        <v>211</v>
      </c>
      <c r="B82" s="355">
        <f>SUM(B65:M78)</f>
        <v>651675.652468974</v>
      </c>
      <c r="C82" s="355">
        <f>(B82-B83)*100/B82</f>
        <v>-0.26493338095007396</v>
      </c>
    </row>
    <row r="83" spans="1:4" x14ac:dyDescent="0.25">
      <c r="A83" s="355" t="s">
        <v>210</v>
      </c>
      <c r="B83" s="355">
        <f>SUM(N65:X78)</f>
        <v>653402.15880788851</v>
      </c>
      <c r="C83" s="355"/>
    </row>
    <row r="84" spans="1:4" x14ac:dyDescent="0.25">
      <c r="A84" s="355"/>
      <c r="B84" s="355">
        <f>B82-B83</f>
        <v>-1726.5063389145071</v>
      </c>
      <c r="C84" s="355"/>
    </row>
    <row r="88" spans="1:4" ht="23.25" x14ac:dyDescent="0.35">
      <c r="A88" s="164"/>
    </row>
    <row r="92" spans="1:4" ht="32.25" customHeight="1" x14ac:dyDescent="0.25">
      <c r="B92" s="394" t="s">
        <v>773</v>
      </c>
      <c r="C92" s="239" t="s">
        <v>1247</v>
      </c>
      <c r="D92" s="239" t="s">
        <v>781</v>
      </c>
    </row>
    <row r="93" spans="1:4" x14ac:dyDescent="0.25">
      <c r="B93" s="4" t="s">
        <v>1246</v>
      </c>
      <c r="C93" s="399">
        <f>B7+B37+B65</f>
        <v>29149</v>
      </c>
      <c r="D93" s="399">
        <f>SUM(P10:P19)+SUM(P40:P49)+SUM(P68:P77)</f>
        <v>848.99999999999454</v>
      </c>
    </row>
    <row r="94" spans="1:4" x14ac:dyDescent="0.25">
      <c r="B94" s="4" t="s">
        <v>1245</v>
      </c>
      <c r="C94" s="399"/>
      <c r="D94" s="399">
        <f>SUM(Q65:Q78)+SUM(Q37:Q51)+SUM(Q7:Q20)</f>
        <v>4852.2942180340597</v>
      </c>
    </row>
    <row r="95" spans="1:4" x14ac:dyDescent="0.25">
      <c r="B95" s="4" t="s">
        <v>774</v>
      </c>
      <c r="C95" s="399">
        <f>C12+C42+C70</f>
        <v>7628</v>
      </c>
      <c r="D95" s="399"/>
    </row>
    <row r="96" spans="1:4" x14ac:dyDescent="0.25">
      <c r="B96" s="4" t="s">
        <v>775</v>
      </c>
      <c r="C96" s="399">
        <f>D14+D44+D72</f>
        <v>1046.7783883619209</v>
      </c>
      <c r="D96" s="399"/>
    </row>
    <row r="97" spans="2:11" x14ac:dyDescent="0.25">
      <c r="B97" s="4" t="s">
        <v>776</v>
      </c>
      <c r="C97" s="399">
        <f>E18+E48+E76</f>
        <v>90.598102364363683</v>
      </c>
      <c r="D97" s="399">
        <f>O19+O49+O77</f>
        <v>377.7163025105271</v>
      </c>
    </row>
    <row r="98" spans="2:11" x14ac:dyDescent="0.25">
      <c r="B98" s="4" t="s">
        <v>444</v>
      </c>
      <c r="C98" s="399">
        <f>G18+G48+G76</f>
        <v>101.02137912731708</v>
      </c>
      <c r="D98" s="399"/>
    </row>
    <row r="99" spans="2:11" x14ac:dyDescent="0.25">
      <c r="B99" s="4" t="s">
        <v>443</v>
      </c>
      <c r="C99" s="399">
        <f>I18+I48+I76</f>
        <v>30.871437225086346</v>
      </c>
      <c r="D99" s="399"/>
    </row>
    <row r="100" spans="2:11" x14ac:dyDescent="0.25">
      <c r="B100" s="4" t="s">
        <v>779</v>
      </c>
      <c r="C100" s="399">
        <f>J38+J66+J8</f>
        <v>0.44804927900000002</v>
      </c>
      <c r="D100" s="399">
        <f>W69+W68+W41+W40+W11+W10</f>
        <v>0.40324435110000001</v>
      </c>
    </row>
    <row r="101" spans="2:11" x14ac:dyDescent="0.25">
      <c r="B101" s="4" t="s">
        <v>780</v>
      </c>
      <c r="C101" s="399">
        <f>K67+K39+K9</f>
        <v>0.44804927900000002</v>
      </c>
      <c r="D101" s="399">
        <f>X69+X68+X41+X40+X11+X10</f>
        <v>0.40324435110000001</v>
      </c>
      <c r="I101" s="74"/>
      <c r="J101" s="74"/>
      <c r="K101" s="74"/>
    </row>
    <row r="102" spans="2:11" x14ac:dyDescent="0.25">
      <c r="B102" s="4" t="s">
        <v>232</v>
      </c>
      <c r="C102" s="399">
        <f>L15+L45+L73</f>
        <v>1918895.8918614024</v>
      </c>
      <c r="D102" s="399">
        <f>V15+V45+V73</f>
        <v>1917308.253247587</v>
      </c>
    </row>
    <row r="103" spans="2:11" x14ac:dyDescent="0.25">
      <c r="B103" s="4" t="s">
        <v>231</v>
      </c>
      <c r="C103" s="399"/>
      <c r="D103" s="399">
        <f>R73+R45+R15</f>
        <v>2119.4204796076201</v>
      </c>
    </row>
    <row r="104" spans="2:11" x14ac:dyDescent="0.25">
      <c r="B104" s="4" t="s">
        <v>1202</v>
      </c>
      <c r="C104" s="399">
        <v>2897.5493412595515</v>
      </c>
      <c r="D104" s="399">
        <v>2897.5493412595515</v>
      </c>
    </row>
    <row r="105" spans="2:11" x14ac:dyDescent="0.25">
      <c r="B105" s="4" t="s">
        <v>1203</v>
      </c>
      <c r="C105" s="399">
        <v>5795.098682519103</v>
      </c>
      <c r="D105" s="399">
        <v>5795.098682519103</v>
      </c>
    </row>
    <row r="106" spans="2:11" x14ac:dyDescent="0.25">
      <c r="B106" s="4" t="s">
        <v>783</v>
      </c>
      <c r="C106" s="399"/>
      <c r="D106" s="399">
        <f>SUM(T71:T75)+SUM(T43:T48)+SUM(T12:T18)</f>
        <v>621.6046171089281</v>
      </c>
    </row>
    <row r="107" spans="2:11" x14ac:dyDescent="0.25">
      <c r="B107" s="4" t="s">
        <v>782</v>
      </c>
      <c r="C107" s="399">
        <f>M15+M45+M73</f>
        <v>1156.0475343314292</v>
      </c>
      <c r="D107" s="399">
        <f>S71+S75+S47+S43+S13+S17</f>
        <v>4144.0307807261879</v>
      </c>
    </row>
    <row r="108" spans="2:11" x14ac:dyDescent="0.25">
      <c r="B108" s="4" t="s">
        <v>504</v>
      </c>
      <c r="C108" s="399"/>
      <c r="D108" s="399">
        <f>N78+N50+N20</f>
        <v>31794.804030225408</v>
      </c>
    </row>
    <row r="109" spans="2:11" x14ac:dyDescent="0.25">
      <c r="B109" s="4"/>
      <c r="C109" s="399"/>
      <c r="D109" s="399"/>
    </row>
    <row r="110" spans="2:11" x14ac:dyDescent="0.25">
      <c r="B110" s="401" t="s">
        <v>246</v>
      </c>
      <c r="C110" s="402">
        <f>SUM(C93:C108)</f>
        <v>1966791.7528251491</v>
      </c>
      <c r="D110" s="402">
        <f>SUM(D93:D108)</f>
        <v>1970760.5781882801</v>
      </c>
    </row>
    <row r="111" spans="2:11" x14ac:dyDescent="0.25">
      <c r="B111" s="4"/>
      <c r="C111" s="399"/>
      <c r="D111" s="399"/>
    </row>
    <row r="112" spans="2:11" x14ac:dyDescent="0.25">
      <c r="B112" s="4" t="s">
        <v>1252</v>
      </c>
      <c r="C112" s="399">
        <f>C110-D110</f>
        <v>-3968.8253631310072</v>
      </c>
      <c r="D112" s="399"/>
    </row>
    <row r="113" spans="2:4" x14ac:dyDescent="0.25">
      <c r="B113" s="4" t="s">
        <v>212</v>
      </c>
      <c r="C113" s="400">
        <f>(C112/C110)*100</f>
        <v>-0.20179184488800539</v>
      </c>
      <c r="D113" s="4"/>
    </row>
  </sheetData>
  <mergeCells count="3">
    <mergeCell ref="A1:S1"/>
    <mergeCell ref="A31:S31"/>
    <mergeCell ref="A59:S59"/>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5"/>
  <sheetViews>
    <sheetView topLeftCell="B28" zoomScale="70" zoomScaleNormal="70" workbookViewId="0">
      <selection activeCell="D41" sqref="D41"/>
    </sheetView>
  </sheetViews>
  <sheetFormatPr baseColWidth="10" defaultRowHeight="15" x14ac:dyDescent="0.25"/>
  <cols>
    <col min="2" max="2" width="40.5703125" bestFit="1" customWidth="1"/>
    <col min="3" max="3" width="17.28515625" bestFit="1" customWidth="1"/>
    <col min="4" max="4" width="18.7109375" bestFit="1" customWidth="1"/>
    <col min="5" max="5" width="16.28515625" bestFit="1" customWidth="1"/>
    <col min="6" max="6" width="66.85546875" bestFit="1" customWidth="1"/>
    <col min="7" max="7" width="57.28515625" bestFit="1" customWidth="1"/>
    <col min="8" max="8" width="42.5703125" bestFit="1" customWidth="1"/>
    <col min="9" max="9" width="79.85546875" customWidth="1"/>
    <col min="10" max="10" width="70.140625" bestFit="1" customWidth="1"/>
    <col min="11" max="11" width="16.5703125" customWidth="1"/>
  </cols>
  <sheetData>
    <row r="1" spans="1:16" x14ac:dyDescent="0.25">
      <c r="A1" s="370"/>
      <c r="B1" s="370"/>
      <c r="C1" s="370"/>
      <c r="D1" s="370"/>
      <c r="E1" s="370"/>
      <c r="F1" s="370"/>
      <c r="G1" s="370"/>
      <c r="H1" s="370"/>
      <c r="I1" s="370"/>
      <c r="J1" s="22"/>
      <c r="K1" s="22"/>
    </row>
    <row r="2" spans="1:16" x14ac:dyDescent="0.25">
      <c r="A2" s="370"/>
      <c r="B2" s="370"/>
      <c r="C2" s="370"/>
      <c r="D2" s="370"/>
      <c r="E2" s="370"/>
      <c r="F2" s="370"/>
      <c r="G2" s="370"/>
      <c r="H2" s="370"/>
      <c r="I2" s="370"/>
      <c r="J2" s="22"/>
      <c r="K2" s="22"/>
    </row>
    <row r="3" spans="1:16" x14ac:dyDescent="0.25">
      <c r="A3" s="370"/>
      <c r="B3" s="370"/>
      <c r="C3" s="370"/>
      <c r="D3" s="370"/>
      <c r="E3" s="370"/>
      <c r="F3" s="370"/>
      <c r="G3" s="370"/>
      <c r="H3" s="370"/>
      <c r="I3" s="370"/>
      <c r="J3" s="22"/>
      <c r="K3" s="22"/>
    </row>
    <row r="4" spans="1:16" x14ac:dyDescent="0.25">
      <c r="A4" s="370"/>
      <c r="B4" s="370"/>
      <c r="C4" s="370"/>
      <c r="D4" s="370"/>
      <c r="E4" s="370"/>
      <c r="F4" s="370"/>
      <c r="G4" s="370"/>
      <c r="H4" s="370"/>
      <c r="I4" s="370"/>
      <c r="J4" s="22"/>
      <c r="K4" s="22"/>
    </row>
    <row r="5" spans="1:16" x14ac:dyDescent="0.25">
      <c r="A5" s="370"/>
      <c r="B5" s="370"/>
      <c r="C5" s="370"/>
      <c r="D5" s="370"/>
      <c r="E5" s="370"/>
      <c r="F5" s="370"/>
      <c r="G5" s="370"/>
      <c r="H5" s="370"/>
      <c r="I5" s="370"/>
      <c r="J5" s="22"/>
      <c r="K5" s="22"/>
    </row>
    <row r="6" spans="1:16" x14ac:dyDescent="0.25">
      <c r="A6" s="370"/>
      <c r="B6" s="370"/>
      <c r="C6" s="370"/>
      <c r="D6" s="370"/>
      <c r="E6" s="370"/>
      <c r="F6" s="370"/>
      <c r="G6" s="370"/>
      <c r="H6" s="370"/>
      <c r="I6" s="370"/>
      <c r="J6" s="22"/>
      <c r="K6" s="22"/>
    </row>
    <row r="7" spans="1:16" x14ac:dyDescent="0.25">
      <c r="A7" s="370"/>
      <c r="B7" s="370"/>
      <c r="C7" s="370"/>
      <c r="D7" s="370"/>
      <c r="E7" s="370"/>
      <c r="F7" s="370"/>
      <c r="G7" s="370"/>
      <c r="H7" s="370"/>
      <c r="I7" s="370"/>
      <c r="J7" s="22"/>
      <c r="K7" s="22"/>
    </row>
    <row r="8" spans="1:16" x14ac:dyDescent="0.25">
      <c r="A8" s="370"/>
      <c r="B8" s="370"/>
      <c r="C8" s="370"/>
      <c r="D8" s="370"/>
      <c r="E8" s="370"/>
      <c r="F8" s="370"/>
      <c r="G8" s="370"/>
      <c r="H8" s="370"/>
      <c r="I8" s="370"/>
      <c r="J8" s="22"/>
      <c r="K8" s="22"/>
    </row>
    <row r="9" spans="1:16" x14ac:dyDescent="0.25">
      <c r="A9" s="370"/>
      <c r="B9" s="370"/>
      <c r="C9" s="370"/>
      <c r="D9" s="370"/>
      <c r="E9" s="370"/>
      <c r="F9" s="370"/>
      <c r="G9" s="370"/>
      <c r="H9" s="370"/>
      <c r="I9" s="370"/>
      <c r="J9" s="22"/>
      <c r="K9" s="22"/>
    </row>
    <row r="10" spans="1:16" x14ac:dyDescent="0.25">
      <c r="A10" s="370"/>
      <c r="B10" s="370"/>
      <c r="C10" s="370"/>
      <c r="D10" s="370"/>
      <c r="E10" s="370"/>
      <c r="F10" s="370"/>
      <c r="G10" s="370"/>
      <c r="H10" s="370"/>
      <c r="I10" s="370"/>
      <c r="J10" s="22"/>
      <c r="K10" s="22"/>
    </row>
    <row r="11" spans="1:16" x14ac:dyDescent="0.25">
      <c r="A11" s="370"/>
      <c r="B11" s="370"/>
      <c r="C11" s="370"/>
      <c r="D11" s="370"/>
      <c r="E11" s="370"/>
      <c r="F11" s="370"/>
      <c r="G11" s="370"/>
      <c r="H11" s="370"/>
      <c r="I11" s="370"/>
      <c r="J11" s="22"/>
      <c r="K11" s="22"/>
    </row>
    <row r="12" spans="1:16" x14ac:dyDescent="0.25">
      <c r="A12" s="370"/>
      <c r="B12" s="370"/>
      <c r="C12" s="370"/>
      <c r="D12" s="370"/>
      <c r="E12" s="370"/>
      <c r="F12" s="370"/>
      <c r="G12" s="370"/>
      <c r="H12" s="370"/>
      <c r="I12" s="370"/>
      <c r="J12" s="30"/>
      <c r="K12" s="30"/>
      <c r="L12" s="3"/>
      <c r="M12" s="3"/>
      <c r="N12" s="3"/>
      <c r="O12" s="3"/>
      <c r="P12" s="3"/>
    </row>
    <row r="13" spans="1:16" x14ac:dyDescent="0.25">
      <c r="A13" s="22"/>
      <c r="B13" s="16"/>
      <c r="C13" s="16"/>
      <c r="D13" s="16"/>
      <c r="E13" s="16"/>
      <c r="F13" s="16"/>
      <c r="G13" s="16"/>
      <c r="H13" s="22"/>
      <c r="I13" s="22"/>
      <c r="J13" s="22"/>
      <c r="K13" s="22"/>
    </row>
    <row r="14" spans="1:16" ht="23.25" x14ac:dyDescent="0.35">
      <c r="A14" s="22"/>
      <c r="B14" s="164" t="s">
        <v>872</v>
      </c>
      <c r="H14" s="22"/>
      <c r="I14" s="22"/>
      <c r="J14" s="22"/>
      <c r="K14" s="22"/>
    </row>
    <row r="15" spans="1:16" x14ac:dyDescent="0.25">
      <c r="A15" s="22"/>
      <c r="H15" s="22"/>
      <c r="I15" s="22"/>
      <c r="J15" s="22"/>
      <c r="K15" s="22"/>
    </row>
    <row r="16" spans="1:16" x14ac:dyDescent="0.25">
      <c r="A16" s="88"/>
      <c r="B16" s="113" t="s">
        <v>201</v>
      </c>
      <c r="C16" s="122" t="s">
        <v>62</v>
      </c>
      <c r="D16" s="122" t="s">
        <v>45</v>
      </c>
      <c r="E16" s="122" t="s">
        <v>197</v>
      </c>
      <c r="F16" s="122" t="s">
        <v>906</v>
      </c>
      <c r="G16" s="122" t="s">
        <v>227</v>
      </c>
      <c r="H16" s="122" t="s">
        <v>228</v>
      </c>
      <c r="I16" s="165" t="s">
        <v>460</v>
      </c>
      <c r="J16" s="122" t="s">
        <v>157</v>
      </c>
      <c r="K16" s="115" t="s">
        <v>61</v>
      </c>
    </row>
    <row r="17" spans="1:16" x14ac:dyDescent="0.25">
      <c r="A17" s="141"/>
      <c r="B17" s="95" t="s">
        <v>221</v>
      </c>
      <c r="C17" s="89" t="s">
        <v>900</v>
      </c>
      <c r="D17" s="110">
        <f>'Filtro prensa'!J38*'Filtro prensa'!C38</f>
        <v>10427.003766153846</v>
      </c>
      <c r="E17" s="95" t="s">
        <v>192</v>
      </c>
      <c r="F17" s="110">
        <f>'Filtro prensa'!M38</f>
        <v>181.14699999999999</v>
      </c>
      <c r="G17" s="110">
        <f>'Filtro prensa'!L38</f>
        <v>1.2275817950262071</v>
      </c>
      <c r="H17" s="95">
        <v>0</v>
      </c>
      <c r="I17" s="6" t="s">
        <v>59</v>
      </c>
      <c r="J17" s="95"/>
      <c r="K17" s="6" t="s">
        <v>59</v>
      </c>
    </row>
    <row r="18" spans="1:16" x14ac:dyDescent="0.25">
      <c r="A18" s="22"/>
      <c r="B18" s="95" t="s">
        <v>787</v>
      </c>
      <c r="C18" s="89" t="s">
        <v>902</v>
      </c>
      <c r="D18" s="110">
        <f>D17*0.1</f>
        <v>1042.7003766153846</v>
      </c>
      <c r="E18" s="95" t="s">
        <v>192</v>
      </c>
      <c r="F18" s="69">
        <v>0</v>
      </c>
      <c r="G18" s="6">
        <v>0</v>
      </c>
      <c r="H18" s="95">
        <v>0</v>
      </c>
      <c r="I18" s="6" t="s">
        <v>59</v>
      </c>
      <c r="J18" s="95" t="s">
        <v>216</v>
      </c>
      <c r="K18" s="95" t="s">
        <v>217</v>
      </c>
    </row>
    <row r="19" spans="1:16" x14ac:dyDescent="0.25">
      <c r="A19" s="22"/>
      <c r="B19" s="95" t="s">
        <v>788</v>
      </c>
      <c r="C19" s="89" t="s">
        <v>901</v>
      </c>
      <c r="D19" s="110">
        <f>D18*1</f>
        <v>1042.7003766153846</v>
      </c>
      <c r="E19" s="95" t="s">
        <v>199</v>
      </c>
      <c r="F19" s="69"/>
      <c r="G19" s="6"/>
      <c r="H19" s="95"/>
      <c r="I19" s="6"/>
      <c r="J19" s="95"/>
      <c r="K19" s="95" t="s">
        <v>158</v>
      </c>
    </row>
    <row r="20" spans="1:16" x14ac:dyDescent="0.25">
      <c r="A20" s="22"/>
      <c r="B20" s="95" t="s">
        <v>789</v>
      </c>
      <c r="C20" s="5" t="s">
        <v>903</v>
      </c>
      <c r="D20" s="110">
        <f>(D17*'Filtro prensa'!D16/1000-Cocción!D19)/Cocción!D21</f>
        <v>1.1153965498444325</v>
      </c>
      <c r="E20" s="95" t="s">
        <v>200</v>
      </c>
      <c r="F20" s="69"/>
      <c r="G20" s="6"/>
      <c r="H20" s="95"/>
      <c r="I20" s="6"/>
      <c r="J20" s="95"/>
      <c r="K20" s="6" t="s">
        <v>59</v>
      </c>
    </row>
    <row r="21" spans="1:16" x14ac:dyDescent="0.25">
      <c r="A21" s="22"/>
      <c r="B21" s="95" t="s">
        <v>218</v>
      </c>
      <c r="C21" s="95" t="s">
        <v>904</v>
      </c>
      <c r="D21" s="110">
        <f>D17-D18</f>
        <v>9384.3033895384615</v>
      </c>
      <c r="E21" s="95" t="s">
        <v>192</v>
      </c>
      <c r="F21" s="110">
        <f>D17*F17/D21</f>
        <v>201.27444444444444</v>
      </c>
      <c r="G21" s="110">
        <f>G17*D17/D21</f>
        <v>1.3639797722513411</v>
      </c>
      <c r="H21" s="110">
        <f>D22*1000/D21</f>
        <v>51.680852575659607</v>
      </c>
      <c r="I21" s="110">
        <f>((H21*D21)+(G21*D21))/D21</f>
        <v>53.044832347910948</v>
      </c>
      <c r="J21" s="95"/>
      <c r="K21" s="6" t="s">
        <v>59</v>
      </c>
    </row>
    <row r="22" spans="1:16" x14ac:dyDescent="0.25">
      <c r="A22" s="22"/>
      <c r="B22" s="95" t="s">
        <v>220</v>
      </c>
      <c r="C22" s="95" t="s">
        <v>905</v>
      </c>
      <c r="D22" s="110">
        <f>0.992*9778/20</f>
        <v>484.98879999999997</v>
      </c>
      <c r="E22" s="95" t="s">
        <v>199</v>
      </c>
      <c r="F22" s="95">
        <v>0</v>
      </c>
      <c r="G22" s="95">
        <v>0</v>
      </c>
      <c r="H22" s="7">
        <v>0</v>
      </c>
      <c r="I22" s="6" t="s">
        <v>59</v>
      </c>
      <c r="J22" s="95"/>
      <c r="K22" s="95" t="s">
        <v>159</v>
      </c>
    </row>
    <row r="23" spans="1:16" x14ac:dyDescent="0.25">
      <c r="A23" s="32"/>
      <c r="B23" s="17"/>
      <c r="C23" s="16"/>
      <c r="D23" s="16"/>
      <c r="E23" s="16"/>
      <c r="H23" s="22"/>
      <c r="I23" s="16"/>
      <c r="J23" s="29"/>
      <c r="K23" s="22"/>
      <c r="L23" s="3"/>
      <c r="M23" s="3"/>
      <c r="N23" s="3"/>
      <c r="O23" s="3"/>
      <c r="P23" s="3"/>
    </row>
    <row r="24" spans="1:16" ht="23.25" x14ac:dyDescent="0.35">
      <c r="A24" s="30"/>
      <c r="B24" s="164" t="s">
        <v>438</v>
      </c>
      <c r="D24" s="22"/>
      <c r="E24" s="29"/>
      <c r="F24" s="167" t="s">
        <v>861</v>
      </c>
      <c r="G24" s="29"/>
      <c r="H24" s="22"/>
      <c r="I24" s="22"/>
      <c r="J24" s="22"/>
      <c r="K24" s="22"/>
    </row>
    <row r="25" spans="1:16" x14ac:dyDescent="0.25">
      <c r="A25" s="30"/>
      <c r="D25" s="22"/>
      <c r="E25" s="22"/>
      <c r="F25" s="22"/>
      <c r="G25" s="22"/>
      <c r="H25" s="16"/>
      <c r="J25" s="29"/>
      <c r="K25" s="30"/>
    </row>
    <row r="26" spans="1:16" x14ac:dyDescent="0.25">
      <c r="A26" s="30"/>
      <c r="B26" s="42" t="s">
        <v>222</v>
      </c>
      <c r="C26" s="151" t="s">
        <v>457</v>
      </c>
      <c r="D26" s="43" t="s">
        <v>212</v>
      </c>
      <c r="E26" s="66"/>
      <c r="F26" s="168" t="s">
        <v>897</v>
      </c>
      <c r="G26" s="168" t="s">
        <v>898</v>
      </c>
      <c r="J26" s="16"/>
      <c r="K26" s="22"/>
    </row>
    <row r="27" spans="1:16" x14ac:dyDescent="0.25">
      <c r="A27" s="30"/>
      <c r="B27" s="159" t="s">
        <v>223</v>
      </c>
      <c r="C27" s="95">
        <f>D17-D21-D18</f>
        <v>0</v>
      </c>
      <c r="D27" s="96">
        <f>C27*100/D17</f>
        <v>0</v>
      </c>
      <c r="E27" s="67"/>
      <c r="F27" s="110">
        <f>I21*D21/1000</f>
        <v>497.78880000000009</v>
      </c>
      <c r="G27" s="110">
        <f>D18</f>
        <v>1042.7003766153846</v>
      </c>
      <c r="H27" s="16"/>
      <c r="I27" s="16"/>
      <c r="J27" s="16"/>
      <c r="K27" s="22"/>
    </row>
    <row r="28" spans="1:16" x14ac:dyDescent="0.25">
      <c r="A28" s="30"/>
      <c r="B28" s="98" t="s">
        <v>459</v>
      </c>
      <c r="C28" s="4"/>
      <c r="D28" s="141"/>
      <c r="E28" s="66"/>
      <c r="I28" s="16"/>
      <c r="J28" s="16"/>
      <c r="K28" s="22"/>
    </row>
    <row r="29" spans="1:16" x14ac:dyDescent="0.25">
      <c r="A29" s="30"/>
      <c r="B29" s="98" t="s">
        <v>456</v>
      </c>
      <c r="C29" s="95">
        <f>D17*G17-D21*G21</f>
        <v>0</v>
      </c>
      <c r="D29" s="96">
        <f>C29*100/(D17*F17)</f>
        <v>0</v>
      </c>
      <c r="E29" s="30"/>
      <c r="F29" s="16"/>
      <c r="G29" s="16"/>
      <c r="H29" s="16"/>
      <c r="I29" s="16"/>
      <c r="J29" s="16"/>
      <c r="K29" s="22"/>
    </row>
    <row r="30" spans="1:16" x14ac:dyDescent="0.25">
      <c r="A30" s="30"/>
      <c r="B30" s="98" t="s">
        <v>458</v>
      </c>
      <c r="C30" s="7"/>
      <c r="D30" s="96"/>
      <c r="E30" s="30"/>
      <c r="F30" s="16">
        <f>D40/5</f>
        <v>2318.0394730076414</v>
      </c>
      <c r="G30" s="16"/>
      <c r="H30" s="16"/>
      <c r="I30" s="16"/>
      <c r="J30" s="16"/>
      <c r="K30" s="22"/>
    </row>
    <row r="31" spans="1:16" x14ac:dyDescent="0.25">
      <c r="A31" s="30"/>
      <c r="B31" s="47" t="s">
        <v>456</v>
      </c>
      <c r="C31" s="104">
        <f>F21*D21-D17*F17</f>
        <v>0</v>
      </c>
      <c r="D31" s="48">
        <v>0</v>
      </c>
      <c r="E31" s="30"/>
      <c r="F31" s="34">
        <f>F30*2.5</f>
        <v>5795.098682519103</v>
      </c>
      <c r="G31" s="286">
        <f>F30*6.5</f>
        <v>15067.256574549669</v>
      </c>
      <c r="I31" s="16"/>
      <c r="J31" s="16"/>
      <c r="K31" s="22"/>
    </row>
    <row r="32" spans="1:16" x14ac:dyDescent="0.25">
      <c r="A32" s="33"/>
      <c r="B32" s="30"/>
      <c r="C32" s="30"/>
      <c r="D32" s="30"/>
      <c r="E32" s="30"/>
      <c r="I32" s="16"/>
      <c r="J32" s="16"/>
      <c r="K32" s="22"/>
    </row>
    <row r="33" spans="1:11" ht="23.25" x14ac:dyDescent="0.35">
      <c r="A33" s="16"/>
      <c r="B33" s="170" t="s">
        <v>224</v>
      </c>
      <c r="C33" s="30"/>
      <c r="D33" s="30"/>
      <c r="E33" s="30"/>
      <c r="F33" s="66"/>
      <c r="G33" s="66"/>
      <c r="H33" s="66"/>
      <c r="I33" s="16"/>
      <c r="J33" s="16"/>
      <c r="K33" s="22"/>
    </row>
    <row r="34" spans="1:11" x14ac:dyDescent="0.25">
      <c r="A34" s="32"/>
      <c r="B34" s="30"/>
      <c r="C34" s="30"/>
      <c r="D34" s="30"/>
      <c r="E34" s="30"/>
      <c r="F34" s="66"/>
      <c r="G34" s="66"/>
      <c r="H34" s="66"/>
      <c r="I34" s="16"/>
      <c r="J34" s="16"/>
      <c r="K34" s="22"/>
    </row>
    <row r="35" spans="1:11" x14ac:dyDescent="0.25">
      <c r="A35" s="30"/>
      <c r="B35" s="113" t="s">
        <v>201</v>
      </c>
      <c r="C35" s="122" t="s">
        <v>62</v>
      </c>
      <c r="D35" s="122" t="s">
        <v>45</v>
      </c>
      <c r="E35" s="122" t="s">
        <v>197</v>
      </c>
      <c r="F35" s="122" t="s">
        <v>226</v>
      </c>
      <c r="G35" s="122" t="s">
        <v>227</v>
      </c>
      <c r="H35" s="122" t="s">
        <v>228</v>
      </c>
      <c r="I35" s="165" t="s">
        <v>460</v>
      </c>
      <c r="J35" s="122" t="s">
        <v>157</v>
      </c>
      <c r="K35" s="115" t="s">
        <v>61</v>
      </c>
    </row>
    <row r="36" spans="1:11" x14ac:dyDescent="0.25">
      <c r="A36" s="30"/>
      <c r="B36" s="98" t="s">
        <v>221</v>
      </c>
      <c r="C36" s="89" t="s">
        <v>900</v>
      </c>
      <c r="D36" s="110">
        <f>'Filtro prensa'!J55*'Filtro prensa'!C55</f>
        <v>12877.997072264676</v>
      </c>
      <c r="E36" s="95" t="s">
        <v>192</v>
      </c>
      <c r="F36" s="110">
        <f>'Filtro prensa'!M55</f>
        <v>121.0694</v>
      </c>
      <c r="G36" s="110">
        <f>'Filtro prensa'!L55</f>
        <v>0.81627600480199958</v>
      </c>
      <c r="H36" s="95">
        <v>0</v>
      </c>
      <c r="I36" s="6" t="s">
        <v>59</v>
      </c>
      <c r="J36" s="95"/>
      <c r="K36" s="6" t="s">
        <v>59</v>
      </c>
    </row>
    <row r="37" spans="1:11" x14ac:dyDescent="0.25">
      <c r="A37" s="30"/>
      <c r="B37" s="98" t="s">
        <v>219</v>
      </c>
      <c r="C37" s="89" t="s">
        <v>902</v>
      </c>
      <c r="D37" s="110">
        <f>D36*0.1</f>
        <v>1287.7997072264677</v>
      </c>
      <c r="E37" s="95" t="s">
        <v>192</v>
      </c>
      <c r="F37" s="69">
        <v>0</v>
      </c>
      <c r="G37" s="6">
        <v>0</v>
      </c>
      <c r="H37" s="95">
        <v>0</v>
      </c>
      <c r="I37" s="6" t="s">
        <v>59</v>
      </c>
      <c r="J37" s="95" t="s">
        <v>216</v>
      </c>
      <c r="K37" s="95" t="s">
        <v>217</v>
      </c>
    </row>
    <row r="38" spans="1:11" x14ac:dyDescent="0.25">
      <c r="A38" s="30"/>
      <c r="B38" s="98" t="s">
        <v>788</v>
      </c>
      <c r="C38" s="89" t="s">
        <v>901</v>
      </c>
      <c r="D38" s="110">
        <f>D37</f>
        <v>1287.7997072264677</v>
      </c>
      <c r="E38" s="95" t="s">
        <v>199</v>
      </c>
      <c r="F38" s="69"/>
      <c r="G38" s="6"/>
      <c r="H38" s="95"/>
      <c r="I38" s="6"/>
      <c r="J38" s="95"/>
      <c r="K38" s="95" t="s">
        <v>158</v>
      </c>
    </row>
    <row r="39" spans="1:11" x14ac:dyDescent="0.25">
      <c r="A39" s="30"/>
      <c r="B39" s="98" t="s">
        <v>789</v>
      </c>
      <c r="C39" s="5" t="s">
        <v>903</v>
      </c>
      <c r="D39" s="110">
        <f>(D36*'Filtro prensa'!D17/1000-D38)/D40</f>
        <v>1.0771254966228416</v>
      </c>
      <c r="E39" s="95" t="s">
        <v>200</v>
      </c>
      <c r="F39" s="69"/>
      <c r="G39" s="6"/>
      <c r="H39" s="95"/>
      <c r="I39" s="6"/>
      <c r="J39" s="95"/>
      <c r="K39" s="6" t="s">
        <v>59</v>
      </c>
    </row>
    <row r="40" spans="1:11" x14ac:dyDescent="0.25">
      <c r="A40" s="30"/>
      <c r="B40" s="98" t="s">
        <v>218</v>
      </c>
      <c r="C40" s="95" t="s">
        <v>904</v>
      </c>
      <c r="D40" s="110">
        <f>D36-D37</f>
        <v>11590.197365038208</v>
      </c>
      <c r="E40" s="95" t="s">
        <v>192</v>
      </c>
      <c r="F40" s="110">
        <f>D36*F36/D40</f>
        <v>134.52155555555558</v>
      </c>
      <c r="G40" s="110">
        <f>G36*D36/D40</f>
        <v>0.90697333866888841</v>
      </c>
      <c r="H40" s="110">
        <f>D41*1000/D40</f>
        <v>5.6469051117768192</v>
      </c>
      <c r="I40" s="110">
        <f>((H40*D40)+(G40*D40))/D40</f>
        <v>6.5538784504457075</v>
      </c>
      <c r="J40" s="95"/>
      <c r="K40" s="6" t="s">
        <v>59</v>
      </c>
    </row>
    <row r="41" spans="1:11" x14ac:dyDescent="0.25">
      <c r="A41" s="30"/>
      <c r="B41" s="47" t="s">
        <v>220</v>
      </c>
      <c r="C41" s="95" t="s">
        <v>905</v>
      </c>
      <c r="D41" s="124">
        <f>Fermentador!C115*0.255/45.4</f>
        <v>65.448744747136473</v>
      </c>
      <c r="E41" s="104" t="s">
        <v>199</v>
      </c>
      <c r="F41" s="104">
        <v>0</v>
      </c>
      <c r="G41" s="104">
        <v>0</v>
      </c>
      <c r="H41" s="166">
        <v>0</v>
      </c>
      <c r="I41" s="11" t="s">
        <v>59</v>
      </c>
      <c r="J41" s="104"/>
      <c r="K41" s="95" t="s">
        <v>159</v>
      </c>
    </row>
    <row r="42" spans="1:11" x14ac:dyDescent="0.25">
      <c r="A42" s="22"/>
      <c r="B42" s="17"/>
      <c r="C42" s="16"/>
      <c r="D42" s="90"/>
      <c r="E42" s="16"/>
      <c r="H42" s="22"/>
      <c r="I42" s="16"/>
      <c r="J42" s="29"/>
      <c r="K42" s="22"/>
    </row>
    <row r="43" spans="1:11" ht="23.25" x14ac:dyDescent="0.35">
      <c r="A43" s="32"/>
      <c r="B43" s="164" t="s">
        <v>438</v>
      </c>
      <c r="D43" s="22"/>
      <c r="E43" s="29"/>
      <c r="F43" s="167" t="s">
        <v>861</v>
      </c>
      <c r="G43" s="29"/>
      <c r="H43" s="22"/>
      <c r="I43" s="22"/>
      <c r="J43" s="22"/>
      <c r="K43" s="22"/>
    </row>
    <row r="44" spans="1:11" x14ac:dyDescent="0.25">
      <c r="A44" s="30"/>
      <c r="D44" s="22"/>
      <c r="E44" s="22"/>
      <c r="F44" s="22"/>
      <c r="G44" s="22"/>
      <c r="H44" s="16"/>
      <c r="J44" s="29"/>
      <c r="K44" s="22"/>
    </row>
    <row r="45" spans="1:11" x14ac:dyDescent="0.25">
      <c r="A45" s="30"/>
      <c r="B45" s="42" t="s">
        <v>222</v>
      </c>
      <c r="C45" s="151" t="s">
        <v>457</v>
      </c>
      <c r="D45" s="43" t="s">
        <v>212</v>
      </c>
      <c r="E45" s="22"/>
      <c r="F45" s="105" t="s">
        <v>897</v>
      </c>
      <c r="G45" s="105" t="s">
        <v>898</v>
      </c>
      <c r="J45" s="16"/>
      <c r="K45" s="22"/>
    </row>
    <row r="46" spans="1:11" x14ac:dyDescent="0.25">
      <c r="A46" s="30"/>
      <c r="B46" s="159" t="s">
        <v>223</v>
      </c>
      <c r="C46" s="95">
        <f>D36-D40-D37</f>
        <v>0</v>
      </c>
      <c r="D46" s="96">
        <f>C46*100/D36</f>
        <v>0</v>
      </c>
      <c r="E46" s="32"/>
      <c r="F46" s="147">
        <f>I40*D40/1000</f>
        <v>75.96074474713653</v>
      </c>
      <c r="G46" s="148">
        <f>D37</f>
        <v>1287.7997072264677</v>
      </c>
      <c r="H46" s="66"/>
      <c r="I46" s="16"/>
      <c r="J46" s="16"/>
      <c r="K46" s="22"/>
    </row>
    <row r="47" spans="1:11" x14ac:dyDescent="0.25">
      <c r="A47" s="30"/>
      <c r="B47" s="98" t="s">
        <v>459</v>
      </c>
      <c r="C47" s="7"/>
      <c r="D47" s="96"/>
      <c r="E47" s="30"/>
      <c r="I47" s="16"/>
      <c r="J47" s="16"/>
      <c r="K47" s="22"/>
    </row>
    <row r="48" spans="1:11" x14ac:dyDescent="0.25">
      <c r="A48" s="30"/>
      <c r="B48" s="98" t="s">
        <v>456</v>
      </c>
      <c r="C48" s="95">
        <f>D36*G36-D40*G40</f>
        <v>0</v>
      </c>
      <c r="D48" s="96">
        <f>C48*100/(D36*F36)</f>
        <v>0</v>
      </c>
      <c r="E48" s="30"/>
      <c r="F48" s="66"/>
      <c r="G48" s="66"/>
      <c r="H48" s="66"/>
      <c r="I48" s="16"/>
      <c r="J48" s="16"/>
      <c r="K48" s="22"/>
    </row>
    <row r="49" spans="1:22" x14ac:dyDescent="0.25">
      <c r="A49" s="22"/>
      <c r="B49" s="98" t="s">
        <v>458</v>
      </c>
      <c r="C49" s="95"/>
      <c r="D49" s="96"/>
      <c r="E49" s="30"/>
      <c r="F49" s="171"/>
      <c r="G49" s="171"/>
      <c r="H49" s="66"/>
      <c r="I49" s="16"/>
      <c r="J49" s="16"/>
      <c r="K49" s="22"/>
    </row>
    <row r="50" spans="1:22" x14ac:dyDescent="0.25">
      <c r="A50" s="22"/>
      <c r="B50" s="47" t="s">
        <v>456</v>
      </c>
      <c r="C50" s="104">
        <f>F40*D40-D36*F36</f>
        <v>0</v>
      </c>
      <c r="D50" s="48">
        <v>0</v>
      </c>
      <c r="E50" s="30"/>
      <c r="G50" s="29"/>
      <c r="H50" s="66"/>
      <c r="I50" s="16"/>
      <c r="J50" s="16"/>
      <c r="K50" s="22"/>
      <c r="L50" s="370"/>
      <c r="M50" s="370"/>
      <c r="N50" s="370"/>
      <c r="O50" s="370"/>
      <c r="P50" s="370"/>
      <c r="Q50" s="8"/>
      <c r="R50" s="16"/>
      <c r="S50" s="8"/>
      <c r="T50" s="16"/>
      <c r="U50" s="16"/>
      <c r="V50" s="16"/>
    </row>
    <row r="51" spans="1:22" x14ac:dyDescent="0.25">
      <c r="A51" s="32"/>
      <c r="C51" s="30"/>
      <c r="D51" s="30"/>
      <c r="E51" s="30"/>
      <c r="I51" s="16"/>
      <c r="J51" s="16"/>
      <c r="K51" s="22"/>
    </row>
    <row r="52" spans="1:22" ht="23.25" x14ac:dyDescent="0.35">
      <c r="A52" s="30"/>
      <c r="B52" s="172" t="s">
        <v>871</v>
      </c>
      <c r="C52" s="30"/>
      <c r="D52" s="30"/>
      <c r="E52" s="30"/>
      <c r="F52" s="167" t="s">
        <v>861</v>
      </c>
      <c r="G52" s="16"/>
      <c r="H52" s="16"/>
      <c r="I52" s="16"/>
      <c r="J52" s="16"/>
      <c r="K52" s="22"/>
    </row>
    <row r="53" spans="1:22" x14ac:dyDescent="0.25">
      <c r="A53" s="30"/>
    </row>
    <row r="54" spans="1:22" x14ac:dyDescent="0.25">
      <c r="A54" s="30"/>
      <c r="B54" s="113" t="s">
        <v>201</v>
      </c>
      <c r="C54" s="122" t="s">
        <v>62</v>
      </c>
      <c r="D54" s="122" t="s">
        <v>45</v>
      </c>
      <c r="E54" s="122" t="s">
        <v>197</v>
      </c>
      <c r="F54" s="122" t="s">
        <v>226</v>
      </c>
      <c r="G54" s="122" t="s">
        <v>227</v>
      </c>
      <c r="H54" s="122" t="s">
        <v>228</v>
      </c>
      <c r="I54" s="165" t="s">
        <v>460</v>
      </c>
      <c r="J54" s="122" t="s">
        <v>157</v>
      </c>
      <c r="K54" s="115" t="s">
        <v>61</v>
      </c>
    </row>
    <row r="55" spans="1:22" x14ac:dyDescent="0.25">
      <c r="A55" s="30"/>
      <c r="B55" s="121" t="s">
        <v>221</v>
      </c>
      <c r="C55" s="89" t="s">
        <v>900</v>
      </c>
      <c r="D55" s="119">
        <f>'Filtro prensa'!J71*'Filtro prensa'!C71</f>
        <v>10193.08</v>
      </c>
      <c r="E55" s="106" t="s">
        <v>192</v>
      </c>
      <c r="F55" s="119">
        <f>'Filtro prensa'!M71</f>
        <v>128.8655</v>
      </c>
      <c r="G55" s="119">
        <f>'Filtro prensa'!L71</f>
        <v>0.75154162663715518</v>
      </c>
      <c r="H55" s="106">
        <v>0</v>
      </c>
      <c r="I55" s="6" t="s">
        <v>59</v>
      </c>
      <c r="J55" s="95"/>
      <c r="K55" s="6" t="s">
        <v>59</v>
      </c>
    </row>
    <row r="56" spans="1:22" x14ac:dyDescent="0.25">
      <c r="A56" s="22"/>
      <c r="B56" s="121" t="s">
        <v>219</v>
      </c>
      <c r="C56" s="89" t="s">
        <v>902</v>
      </c>
      <c r="D56" s="119">
        <f>D55*0.1</f>
        <v>1019.308</v>
      </c>
      <c r="E56" s="106" t="s">
        <v>192</v>
      </c>
      <c r="F56" s="71">
        <v>0</v>
      </c>
      <c r="G56" s="70">
        <v>0</v>
      </c>
      <c r="H56" s="106">
        <v>0</v>
      </c>
      <c r="I56" s="6" t="s">
        <v>59</v>
      </c>
      <c r="J56" s="95" t="s">
        <v>216</v>
      </c>
      <c r="K56" s="95" t="s">
        <v>217</v>
      </c>
    </row>
    <row r="57" spans="1:22" x14ac:dyDescent="0.25">
      <c r="A57" s="22"/>
      <c r="B57" s="121" t="s">
        <v>788</v>
      </c>
      <c r="C57" s="89" t="s">
        <v>901</v>
      </c>
      <c r="D57" s="119">
        <f>D56*1</f>
        <v>1019.308</v>
      </c>
      <c r="E57" s="106"/>
      <c r="F57" s="71"/>
      <c r="G57" s="70"/>
      <c r="H57" s="106"/>
      <c r="I57" s="6"/>
      <c r="J57" s="95"/>
      <c r="K57" s="95" t="s">
        <v>158</v>
      </c>
    </row>
    <row r="58" spans="1:22" x14ac:dyDescent="0.25">
      <c r="A58" s="32"/>
      <c r="B58" s="121" t="s">
        <v>789</v>
      </c>
      <c r="C58" s="5" t="s">
        <v>903</v>
      </c>
      <c r="D58" s="119">
        <f>(D55*'Filtro prensa'!D18/1000-D57)/D59</f>
        <v>1.071068506734981</v>
      </c>
      <c r="E58" s="106"/>
      <c r="F58" s="71"/>
      <c r="G58" s="70"/>
      <c r="H58" s="106"/>
      <c r="I58" s="6"/>
      <c r="J58" s="95"/>
      <c r="K58" s="6" t="s">
        <v>59</v>
      </c>
    </row>
    <row r="59" spans="1:22" x14ac:dyDescent="0.25">
      <c r="A59" s="30"/>
      <c r="B59" s="121" t="s">
        <v>218</v>
      </c>
      <c r="C59" s="95" t="s">
        <v>904</v>
      </c>
      <c r="D59" s="119">
        <f>D55-D56</f>
        <v>9173.7720000000008</v>
      </c>
      <c r="E59" s="106" t="s">
        <v>192</v>
      </c>
      <c r="F59" s="119">
        <f>D55*F55/D59</f>
        <v>143.18388888888887</v>
      </c>
      <c r="G59" s="119">
        <f>G55*D55/D59</f>
        <v>0.83504625181906122</v>
      </c>
      <c r="H59" s="119">
        <f>D60*1000/D59</f>
        <v>54.104336102399778</v>
      </c>
      <c r="I59" s="110">
        <f>((H59*D59)+(G59*D59))/D59</f>
        <v>54.939382354218836</v>
      </c>
      <c r="J59" s="95"/>
      <c r="K59" s="6" t="s">
        <v>59</v>
      </c>
    </row>
    <row r="60" spans="1:22" x14ac:dyDescent="0.25">
      <c r="A60" s="30"/>
      <c r="B60" s="173" t="s">
        <v>220</v>
      </c>
      <c r="C60" s="95" t="s">
        <v>905</v>
      </c>
      <c r="D60" s="175">
        <f>Fermentador!C141*0.992/19</f>
        <v>496.34084361478426</v>
      </c>
      <c r="E60" s="174" t="s">
        <v>199</v>
      </c>
      <c r="F60" s="174">
        <v>0</v>
      </c>
      <c r="G60" s="174">
        <v>0</v>
      </c>
      <c r="H60" s="153">
        <v>0</v>
      </c>
      <c r="I60" s="11" t="s">
        <v>59</v>
      </c>
      <c r="J60" s="104"/>
      <c r="K60" s="95" t="s">
        <v>159</v>
      </c>
    </row>
    <row r="61" spans="1:22" x14ac:dyDescent="0.25">
      <c r="A61" s="30"/>
      <c r="D61" s="22"/>
      <c r="E61" s="29"/>
      <c r="F61" s="22"/>
      <c r="G61" s="29"/>
      <c r="H61" s="22"/>
      <c r="I61" s="22"/>
      <c r="J61" s="22"/>
      <c r="K61" s="22"/>
    </row>
    <row r="62" spans="1:22" ht="23.25" x14ac:dyDescent="0.35">
      <c r="A62" s="30"/>
      <c r="B62" s="164" t="s">
        <v>438</v>
      </c>
      <c r="D62" s="22"/>
      <c r="E62" s="22"/>
      <c r="F62" s="167" t="s">
        <v>861</v>
      </c>
      <c r="G62" s="22"/>
      <c r="H62" s="16"/>
      <c r="J62" s="29"/>
      <c r="K62" s="22"/>
    </row>
    <row r="63" spans="1:22" x14ac:dyDescent="0.25">
      <c r="A63" s="30"/>
      <c r="E63" s="22"/>
      <c r="G63" s="29"/>
      <c r="H63" s="66"/>
      <c r="J63" s="16"/>
      <c r="K63" s="22"/>
    </row>
    <row r="64" spans="1:22" x14ac:dyDescent="0.25">
      <c r="A64" s="30"/>
      <c r="B64" s="42" t="s">
        <v>222</v>
      </c>
      <c r="C64" s="151" t="s">
        <v>827</v>
      </c>
      <c r="D64" s="43" t="s">
        <v>212</v>
      </c>
      <c r="E64" s="32"/>
      <c r="F64" s="176" t="s">
        <v>897</v>
      </c>
      <c r="G64" s="43" t="s">
        <v>898</v>
      </c>
      <c r="H64" s="66"/>
      <c r="I64" s="16"/>
      <c r="J64" s="16"/>
      <c r="K64" s="29"/>
    </row>
    <row r="65" spans="1:11" x14ac:dyDescent="0.25">
      <c r="A65" s="30"/>
      <c r="B65" s="159" t="s">
        <v>223</v>
      </c>
      <c r="C65" s="95">
        <f>D55-D59-D56</f>
        <v>-9.0949470177292824E-13</v>
      </c>
      <c r="D65" s="96">
        <f>C65*100/D55</f>
        <v>-8.9226681412578756E-15</v>
      </c>
      <c r="E65" s="30"/>
      <c r="F65" s="147">
        <f>I59*D59/1000</f>
        <v>504.0013675384269</v>
      </c>
      <c r="G65" s="148">
        <f>D56</f>
        <v>1019.308</v>
      </c>
      <c r="I65" s="16"/>
      <c r="J65" s="16"/>
      <c r="K65" s="16"/>
    </row>
    <row r="66" spans="1:11" x14ac:dyDescent="0.25">
      <c r="A66" s="30"/>
      <c r="B66" s="98" t="s">
        <v>459</v>
      </c>
      <c r="C66" s="95"/>
      <c r="D66" s="96"/>
      <c r="E66" s="30"/>
      <c r="F66" s="66"/>
      <c r="G66" s="66"/>
      <c r="H66" s="66"/>
      <c r="I66" s="16"/>
      <c r="J66" s="16"/>
      <c r="K66" s="16"/>
    </row>
    <row r="67" spans="1:11" x14ac:dyDescent="0.25">
      <c r="A67" s="30"/>
      <c r="B67" s="98" t="s">
        <v>456</v>
      </c>
      <c r="C67" s="95">
        <f>D55*G55-D59*G59</f>
        <v>0</v>
      </c>
      <c r="D67" s="96">
        <f>C67*100/(D55*F55)</f>
        <v>0</v>
      </c>
      <c r="E67" s="30"/>
      <c r="F67" s="66"/>
      <c r="G67" s="66"/>
      <c r="H67" s="66"/>
      <c r="I67" s="16"/>
      <c r="J67" s="16"/>
      <c r="K67" s="16"/>
    </row>
    <row r="68" spans="1:11" x14ac:dyDescent="0.25">
      <c r="A68" s="22"/>
      <c r="B68" s="98" t="s">
        <v>458</v>
      </c>
      <c r="C68" s="95"/>
      <c r="D68" s="96"/>
      <c r="E68" s="30"/>
      <c r="G68" s="29"/>
      <c r="H68" s="66"/>
      <c r="I68" s="16"/>
      <c r="J68" s="16"/>
      <c r="K68" s="16"/>
    </row>
    <row r="69" spans="1:11" x14ac:dyDescent="0.25">
      <c r="A69" s="22"/>
      <c r="B69" s="47" t="s">
        <v>456</v>
      </c>
      <c r="C69" s="104">
        <f>F59*D59-D55*F55</f>
        <v>0</v>
      </c>
      <c r="D69" s="48">
        <v>0</v>
      </c>
      <c r="E69" s="30"/>
      <c r="I69" s="16"/>
      <c r="J69" s="16"/>
      <c r="K69" s="16"/>
    </row>
    <row r="70" spans="1:11" x14ac:dyDescent="0.25">
      <c r="E70" s="30"/>
      <c r="F70" s="8"/>
      <c r="G70" s="16"/>
      <c r="H70" s="8"/>
      <c r="I70" s="16"/>
      <c r="J70" s="16"/>
      <c r="K70" s="16"/>
    </row>
    <row r="71" spans="1:11" x14ac:dyDescent="0.25">
      <c r="B71" s="30"/>
      <c r="C71" s="30"/>
      <c r="D71" s="30"/>
      <c r="E71" s="30"/>
      <c r="F71" s="28"/>
      <c r="G71" s="16"/>
      <c r="H71" s="8"/>
      <c r="I71" s="28"/>
      <c r="J71" s="16"/>
      <c r="K71" s="22"/>
    </row>
    <row r="72" spans="1:11" x14ac:dyDescent="0.25">
      <c r="A72" t="s">
        <v>899</v>
      </c>
      <c r="B72" s="30"/>
      <c r="C72" s="30"/>
      <c r="D72" s="30"/>
      <c r="E72" s="30"/>
      <c r="F72" s="16"/>
      <c r="G72" s="22"/>
      <c r="H72" s="22"/>
      <c r="I72" s="22"/>
      <c r="J72" s="22"/>
      <c r="K72" s="22"/>
    </row>
    <row r="73" spans="1:11" x14ac:dyDescent="0.25">
      <c r="A73" t="s">
        <v>795</v>
      </c>
      <c r="B73" s="30"/>
      <c r="C73" s="30"/>
      <c r="D73" s="30"/>
      <c r="E73" s="30"/>
      <c r="F73" s="16"/>
      <c r="G73" s="22"/>
      <c r="H73" s="22"/>
      <c r="I73" s="22"/>
      <c r="J73" s="22"/>
      <c r="K73" s="22"/>
    </row>
    <row r="74" spans="1:11" x14ac:dyDescent="0.25">
      <c r="B74" s="22"/>
      <c r="C74" s="22"/>
      <c r="D74" s="22"/>
      <c r="E74" s="22"/>
      <c r="F74" s="22"/>
      <c r="G74" s="22"/>
      <c r="H74" s="22"/>
      <c r="I74" s="22"/>
      <c r="J74" s="22"/>
      <c r="K74" s="22"/>
    </row>
    <row r="75" spans="1:11" x14ac:dyDescent="0.25">
      <c r="B75" s="22"/>
      <c r="C75" s="22"/>
      <c r="D75" s="22"/>
      <c r="E75" s="22"/>
      <c r="F75" s="22"/>
      <c r="G75" s="22"/>
      <c r="H75" s="22"/>
      <c r="I75" s="22"/>
      <c r="J75" s="22"/>
      <c r="K75" s="22"/>
    </row>
  </sheetData>
  <mergeCells count="2">
    <mergeCell ref="A1:I12"/>
    <mergeCell ref="L50:P50"/>
  </mergeCells>
  <pageMargins left="0.7" right="0.7" top="0.75" bottom="0.75" header="0.3" footer="0.3"/>
  <pageSetup paperSize="9" orientation="portrait" r:id="rId1"/>
  <drawing r:id="rId2"/>
  <tableParts count="9">
    <tablePart r:id="rId3"/>
    <tablePart r:id="rId4"/>
    <tablePart r:id="rId5"/>
    <tablePart r:id="rId6"/>
    <tablePart r:id="rId7"/>
    <tablePart r:id="rId8"/>
    <tablePart r:id="rId9"/>
    <tablePart r:id="rId10"/>
    <tablePart r:id="rId1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topLeftCell="A13" zoomScale="60" zoomScaleNormal="60" workbookViewId="0">
      <selection activeCell="D47" sqref="D47"/>
    </sheetView>
  </sheetViews>
  <sheetFormatPr baseColWidth="10" defaultRowHeight="15" x14ac:dyDescent="0.25"/>
  <cols>
    <col min="1" max="1" width="52.5703125" bestFit="1" customWidth="1"/>
    <col min="2" max="2" width="27.7109375" customWidth="1"/>
    <col min="3" max="3" width="20.85546875" bestFit="1" customWidth="1"/>
    <col min="4" max="4" width="34.7109375" customWidth="1"/>
    <col min="5" max="5" width="85.85546875" bestFit="1" customWidth="1"/>
    <col min="6" max="6" width="79.7109375" bestFit="1" customWidth="1"/>
    <col min="7" max="7" width="23.7109375" bestFit="1" customWidth="1"/>
    <col min="8" max="8" width="14.5703125" customWidth="1"/>
    <col min="9" max="9" width="8.7109375" customWidth="1"/>
    <col min="10" max="10" width="27.28515625" bestFit="1" customWidth="1"/>
    <col min="11" max="11" width="10.28515625" customWidth="1"/>
  </cols>
  <sheetData>
    <row r="1" spans="1:16" x14ac:dyDescent="0.25">
      <c r="A1" s="357"/>
      <c r="B1" s="357"/>
      <c r="C1" s="357"/>
      <c r="D1" s="357"/>
      <c r="E1" s="357"/>
      <c r="F1" s="357"/>
      <c r="G1" s="3"/>
      <c r="H1" s="3"/>
      <c r="I1" s="3"/>
    </row>
    <row r="2" spans="1:16" x14ac:dyDescent="0.25">
      <c r="A2" s="357"/>
      <c r="B2" s="357"/>
      <c r="C2" s="357"/>
      <c r="D2" s="357"/>
      <c r="E2" s="357"/>
      <c r="F2" s="357"/>
      <c r="G2" s="3"/>
      <c r="H2" s="3"/>
      <c r="I2" s="3"/>
    </row>
    <row r="3" spans="1:16" x14ac:dyDescent="0.25">
      <c r="A3" s="357"/>
      <c r="B3" s="357"/>
      <c r="C3" s="357"/>
      <c r="D3" s="357"/>
      <c r="E3" s="357"/>
      <c r="F3" s="357"/>
      <c r="G3" s="3"/>
      <c r="H3" s="3"/>
      <c r="I3" s="3"/>
    </row>
    <row r="4" spans="1:16" x14ac:dyDescent="0.25">
      <c r="A4" s="357"/>
      <c r="B4" s="357"/>
      <c r="C4" s="357"/>
      <c r="D4" s="357"/>
      <c r="E4" s="357"/>
      <c r="F4" s="357"/>
      <c r="G4" s="3"/>
      <c r="H4" s="3"/>
      <c r="I4" s="3"/>
    </row>
    <row r="5" spans="1:16" x14ac:dyDescent="0.25">
      <c r="A5" s="357"/>
      <c r="B5" s="357"/>
      <c r="C5" s="357"/>
      <c r="D5" s="357"/>
      <c r="E5" s="357"/>
      <c r="F5" s="357"/>
      <c r="G5" s="3"/>
      <c r="H5" s="3"/>
      <c r="I5" s="3"/>
    </row>
    <row r="6" spans="1:16" x14ac:dyDescent="0.25">
      <c r="A6" s="357"/>
      <c r="B6" s="357"/>
      <c r="C6" s="357"/>
      <c r="D6" s="357"/>
      <c r="E6" s="357"/>
      <c r="F6" s="357"/>
      <c r="G6" s="3"/>
      <c r="H6" s="3"/>
      <c r="I6" s="3"/>
    </row>
    <row r="7" spans="1:16" x14ac:dyDescent="0.25">
      <c r="A7" s="357"/>
      <c r="B7" s="357"/>
      <c r="C7" s="357"/>
      <c r="D7" s="357"/>
      <c r="E7" s="357"/>
      <c r="F7" s="357"/>
      <c r="G7" s="3"/>
      <c r="H7" s="3"/>
      <c r="I7" s="3"/>
    </row>
    <row r="8" spans="1:16" x14ac:dyDescent="0.25">
      <c r="A8" s="357"/>
      <c r="B8" s="357"/>
      <c r="C8" s="357"/>
      <c r="D8" s="357"/>
      <c r="E8" s="357"/>
      <c r="F8" s="357"/>
      <c r="G8" s="3"/>
      <c r="H8" s="3"/>
      <c r="I8" s="3"/>
    </row>
    <row r="9" spans="1:16" x14ac:dyDescent="0.25">
      <c r="A9" s="357"/>
      <c r="B9" s="357"/>
      <c r="C9" s="357"/>
      <c r="D9" s="357"/>
      <c r="E9" s="357"/>
      <c r="F9" s="357"/>
      <c r="G9" s="3"/>
      <c r="H9" s="3"/>
      <c r="I9" s="3"/>
    </row>
    <row r="10" spans="1:16" x14ac:dyDescent="0.25">
      <c r="A10" s="357"/>
      <c r="B10" s="357"/>
      <c r="C10" s="357"/>
      <c r="D10" s="357"/>
      <c r="E10" s="357"/>
      <c r="F10" s="357"/>
      <c r="G10" s="3"/>
      <c r="H10" s="3"/>
      <c r="I10" s="3"/>
    </row>
    <row r="11" spans="1:16" x14ac:dyDescent="0.25">
      <c r="A11" s="357"/>
      <c r="B11" s="357"/>
      <c r="C11" s="357"/>
      <c r="D11" s="357"/>
      <c r="E11" s="357"/>
      <c r="F11" s="357"/>
      <c r="G11" s="3"/>
      <c r="H11" s="3"/>
      <c r="I11" s="3"/>
    </row>
    <row r="12" spans="1:16" x14ac:dyDescent="0.25">
      <c r="A12" s="364"/>
      <c r="B12" s="364"/>
      <c r="C12" s="364"/>
      <c r="D12" s="364"/>
      <c r="E12" s="364"/>
      <c r="F12" s="364"/>
      <c r="G12" s="180"/>
      <c r="H12" s="180"/>
      <c r="I12" s="180"/>
      <c r="J12" s="3"/>
      <c r="K12" s="3"/>
      <c r="L12" s="3"/>
      <c r="M12" s="3"/>
      <c r="N12" s="3"/>
      <c r="O12" s="3"/>
      <c r="P12" s="3"/>
    </row>
    <row r="14" spans="1:16" x14ac:dyDescent="0.25">
      <c r="B14" s="2" t="s">
        <v>107</v>
      </c>
      <c r="C14" s="1" t="s">
        <v>62</v>
      </c>
      <c r="D14" s="1" t="s">
        <v>117</v>
      </c>
      <c r="E14" s="1" t="s">
        <v>116</v>
      </c>
      <c r="F14" s="1" t="s">
        <v>118</v>
      </c>
      <c r="G14" s="1"/>
      <c r="J14" s="94"/>
    </row>
    <row r="15" spans="1:16" x14ac:dyDescent="0.25">
      <c r="B15" s="1" t="s">
        <v>110</v>
      </c>
      <c r="C15" s="1" t="s">
        <v>108</v>
      </c>
      <c r="D15" s="1">
        <f>D17</f>
        <v>5.0000000000000001E-3</v>
      </c>
      <c r="E15" s="1">
        <f>D15*D24</f>
        <v>5.3856274831142086</v>
      </c>
      <c r="F15" s="1">
        <v>100</v>
      </c>
      <c r="G15" s="1"/>
      <c r="J15" s="94"/>
    </row>
    <row r="16" spans="1:16" x14ac:dyDescent="0.25">
      <c r="B16" s="1" t="s">
        <v>109</v>
      </c>
      <c r="C16" s="1" t="s">
        <v>113</v>
      </c>
      <c r="D16" s="350">
        <f>D59</f>
        <v>2.4999999999999996E-3</v>
      </c>
      <c r="E16" s="1">
        <f>D16*D28</f>
        <v>2.4954999999999998</v>
      </c>
      <c r="F16" s="1">
        <v>20</v>
      </c>
      <c r="G16" s="1"/>
      <c r="J16" s="94"/>
    </row>
    <row r="17" spans="1:12" x14ac:dyDescent="0.25">
      <c r="B17" s="1" t="s">
        <v>112</v>
      </c>
      <c r="C17" s="1" t="s">
        <v>114</v>
      </c>
      <c r="D17" s="1">
        <f>D44</f>
        <v>5.0000000000000001E-3</v>
      </c>
      <c r="E17" s="1">
        <f>D17*D24</f>
        <v>5.3856274831142086</v>
      </c>
      <c r="F17" s="1">
        <v>85</v>
      </c>
      <c r="G17" s="1"/>
      <c r="J17" s="94"/>
    </row>
    <row r="18" spans="1:12" x14ac:dyDescent="0.25">
      <c r="B18" s="1" t="s">
        <v>111</v>
      </c>
      <c r="C18" s="1" t="s">
        <v>115</v>
      </c>
      <c r="D18" s="1">
        <f>D16</f>
        <v>2.4999999999999996E-3</v>
      </c>
      <c r="E18" s="1">
        <f>D18*D28</f>
        <v>2.4954999999999998</v>
      </c>
      <c r="F18" s="1">
        <v>50</v>
      </c>
      <c r="G18" s="1"/>
      <c r="J18" s="94"/>
    </row>
    <row r="19" spans="1:12" x14ac:dyDescent="0.25">
      <c r="B19" t="s">
        <v>927</v>
      </c>
      <c r="C19" t="s">
        <v>61</v>
      </c>
      <c r="D19" t="s">
        <v>194</v>
      </c>
    </row>
    <row r="20" spans="1:12" x14ac:dyDescent="0.25">
      <c r="B20" t="s">
        <v>928</v>
      </c>
      <c r="C20" s="94" t="s">
        <v>614</v>
      </c>
      <c r="D20">
        <f>(D15+D16-D17-D18)*100/D15</f>
        <v>0</v>
      </c>
    </row>
    <row r="23" spans="1:12" x14ac:dyDescent="0.25">
      <c r="A23" s="113" t="s">
        <v>11</v>
      </c>
      <c r="B23" s="114" t="s">
        <v>1</v>
      </c>
      <c r="C23" s="114" t="s">
        <v>827</v>
      </c>
      <c r="D23" s="114" t="s">
        <v>45</v>
      </c>
      <c r="E23" s="151" t="s">
        <v>60</v>
      </c>
      <c r="F23" s="142" t="s">
        <v>61</v>
      </c>
      <c r="G23" s="3"/>
      <c r="H23" s="3"/>
      <c r="I23" s="3"/>
      <c r="K23" s="3"/>
      <c r="L23" s="3"/>
    </row>
    <row r="24" spans="1:12" x14ac:dyDescent="0.25">
      <c r="A24" s="98" t="s">
        <v>0</v>
      </c>
      <c r="B24" s="95" t="s">
        <v>21</v>
      </c>
      <c r="C24" s="114" t="s">
        <v>46</v>
      </c>
      <c r="D24" s="111">
        <f>Cocción!D39*1000</f>
        <v>1077.1254966228416</v>
      </c>
      <c r="E24" s="95"/>
      <c r="F24" s="96" t="s">
        <v>158</v>
      </c>
    </row>
    <row r="25" spans="1:12" x14ac:dyDescent="0.25">
      <c r="A25" s="98" t="s">
        <v>2</v>
      </c>
      <c r="B25" s="5" t="s">
        <v>22</v>
      </c>
      <c r="C25" s="95" t="s">
        <v>19</v>
      </c>
      <c r="D25" s="111">
        <f>1.53*10^-3</f>
        <v>1.5300000000000001E-3</v>
      </c>
      <c r="E25" s="95" t="s">
        <v>87</v>
      </c>
      <c r="F25" s="96" t="s">
        <v>158</v>
      </c>
    </row>
    <row r="26" spans="1:12" x14ac:dyDescent="0.25">
      <c r="A26" s="98" t="s">
        <v>23</v>
      </c>
      <c r="B26" s="95" t="s">
        <v>24</v>
      </c>
      <c r="C26" s="95" t="s">
        <v>42</v>
      </c>
      <c r="D26" s="111">
        <v>0.6</v>
      </c>
      <c r="E26" s="95" t="s">
        <v>88</v>
      </c>
      <c r="F26" s="96" t="s">
        <v>158</v>
      </c>
    </row>
    <row r="27" spans="1:12" x14ac:dyDescent="0.25">
      <c r="A27" s="98" t="s">
        <v>3</v>
      </c>
      <c r="B27" s="95" t="s">
        <v>25</v>
      </c>
      <c r="C27" s="95" t="s">
        <v>43</v>
      </c>
      <c r="D27" s="111">
        <f>4182</f>
        <v>4182</v>
      </c>
      <c r="E27" s="95" t="s">
        <v>89</v>
      </c>
      <c r="F27" s="96" t="s">
        <v>158</v>
      </c>
    </row>
    <row r="28" spans="1:12" x14ac:dyDescent="0.25">
      <c r="A28" s="98" t="s">
        <v>6</v>
      </c>
      <c r="B28" s="95" t="s">
        <v>20</v>
      </c>
      <c r="C28" s="95" t="s">
        <v>102</v>
      </c>
      <c r="D28" s="111">
        <v>998.2</v>
      </c>
      <c r="E28" s="95"/>
      <c r="F28" s="96" t="s">
        <v>159</v>
      </c>
    </row>
    <row r="29" spans="1:12" x14ac:dyDescent="0.25">
      <c r="A29" s="98" t="s">
        <v>7</v>
      </c>
      <c r="B29" s="5" t="s">
        <v>28</v>
      </c>
      <c r="C29" s="95" t="s">
        <v>19</v>
      </c>
      <c r="D29" s="111">
        <f>1.002*10^-3</f>
        <v>1.0020000000000001E-3</v>
      </c>
      <c r="E29" s="95"/>
      <c r="F29" s="96" t="s">
        <v>159</v>
      </c>
    </row>
    <row r="30" spans="1:12" x14ac:dyDescent="0.25">
      <c r="A30" s="98" t="s">
        <v>30</v>
      </c>
      <c r="B30" s="95" t="s">
        <v>29</v>
      </c>
      <c r="C30" s="95" t="s">
        <v>42</v>
      </c>
      <c r="D30" s="111">
        <v>0.6</v>
      </c>
      <c r="E30" s="95"/>
      <c r="F30" s="96" t="s">
        <v>159</v>
      </c>
    </row>
    <row r="31" spans="1:12" x14ac:dyDescent="0.25">
      <c r="A31" s="98" t="s">
        <v>8</v>
      </c>
      <c r="B31" s="95" t="s">
        <v>31</v>
      </c>
      <c r="C31" s="95" t="s">
        <v>83</v>
      </c>
      <c r="D31" s="111">
        <f>4182</f>
        <v>4182</v>
      </c>
      <c r="E31" s="95"/>
      <c r="F31" s="96" t="s">
        <v>159</v>
      </c>
    </row>
    <row r="32" spans="1:12" x14ac:dyDescent="0.25">
      <c r="A32" s="173" t="s">
        <v>47</v>
      </c>
      <c r="B32" s="104" t="s">
        <v>48</v>
      </c>
      <c r="C32" s="95" t="s">
        <v>102</v>
      </c>
      <c r="D32" s="154">
        <v>9.8000000000000007</v>
      </c>
      <c r="E32" s="104"/>
      <c r="F32" s="48"/>
    </row>
    <row r="33" spans="1:10" x14ac:dyDescent="0.25">
      <c r="A33" s="47"/>
      <c r="B33" s="104"/>
      <c r="C33" s="104" t="s">
        <v>49</v>
      </c>
      <c r="D33" s="104"/>
      <c r="E33" s="104"/>
      <c r="F33" s="48"/>
      <c r="G33" s="1"/>
      <c r="H33" s="1"/>
      <c r="I33" s="1"/>
      <c r="J33" s="94"/>
    </row>
    <row r="34" spans="1:10" x14ac:dyDescent="0.25">
      <c r="A34" s="125" t="s">
        <v>12</v>
      </c>
      <c r="B34" s="114" t="s">
        <v>62</v>
      </c>
      <c r="C34" s="114" t="s">
        <v>46</v>
      </c>
      <c r="D34" s="114" t="s">
        <v>45</v>
      </c>
      <c r="E34" s="142" t="s">
        <v>61</v>
      </c>
    </row>
    <row r="35" spans="1:10" x14ac:dyDescent="0.25">
      <c r="A35" s="98" t="s">
        <v>13</v>
      </c>
      <c r="B35" s="95" t="s">
        <v>34</v>
      </c>
      <c r="C35" s="95" t="s">
        <v>40</v>
      </c>
      <c r="D35" s="110">
        <v>0.41</v>
      </c>
      <c r="E35" s="96" t="s">
        <v>168</v>
      </c>
    </row>
    <row r="36" spans="1:10" x14ac:dyDescent="0.25">
      <c r="A36" s="98" t="s">
        <v>14</v>
      </c>
      <c r="B36" s="95" t="s">
        <v>35</v>
      </c>
      <c r="C36" s="95" t="s">
        <v>40</v>
      </c>
      <c r="D36" s="110">
        <v>1.175</v>
      </c>
      <c r="E36" s="96" t="s">
        <v>168</v>
      </c>
    </row>
    <row r="37" spans="1:10" x14ac:dyDescent="0.25">
      <c r="A37" s="98" t="s">
        <v>15</v>
      </c>
      <c r="B37" s="106" t="s">
        <v>36</v>
      </c>
      <c r="C37" s="95" t="s">
        <v>40</v>
      </c>
      <c r="D37" s="110">
        <v>5.0000000000000001E-4</v>
      </c>
      <c r="E37" s="96" t="s">
        <v>168</v>
      </c>
    </row>
    <row r="38" spans="1:10" x14ac:dyDescent="0.25">
      <c r="A38" s="98" t="s">
        <v>16</v>
      </c>
      <c r="B38" s="106" t="s">
        <v>37</v>
      </c>
      <c r="C38" s="95" t="s">
        <v>83</v>
      </c>
      <c r="D38" s="110">
        <v>21.9</v>
      </c>
      <c r="E38" s="96" t="s">
        <v>168</v>
      </c>
    </row>
    <row r="39" spans="1:10" x14ac:dyDescent="0.25">
      <c r="A39" s="98" t="s">
        <v>17</v>
      </c>
      <c r="B39" s="106" t="s">
        <v>38</v>
      </c>
      <c r="C39" s="95" t="s">
        <v>41</v>
      </c>
      <c r="D39" s="110">
        <f>D35*D36</f>
        <v>0.48175000000000001</v>
      </c>
      <c r="E39" s="96" t="s">
        <v>168</v>
      </c>
    </row>
    <row r="40" spans="1:10" x14ac:dyDescent="0.25">
      <c r="A40" s="98" t="s">
        <v>18</v>
      </c>
      <c r="B40" s="106" t="s">
        <v>39</v>
      </c>
      <c r="C40" s="95" t="s">
        <v>40</v>
      </c>
      <c r="D40" s="110">
        <f>2*D41</f>
        <v>0.13</v>
      </c>
      <c r="E40" s="96" t="s">
        <v>168</v>
      </c>
      <c r="F40" s="1"/>
    </row>
    <row r="41" spans="1:10" x14ac:dyDescent="0.25">
      <c r="A41" s="47" t="s">
        <v>90</v>
      </c>
      <c r="B41" s="174" t="s">
        <v>91</v>
      </c>
      <c r="C41" s="104" t="s">
        <v>40</v>
      </c>
      <c r="D41" s="124">
        <v>6.5000000000000002E-2</v>
      </c>
      <c r="E41" s="96" t="s">
        <v>168</v>
      </c>
      <c r="F41" s="1"/>
    </row>
    <row r="43" spans="1:10" x14ac:dyDescent="0.25">
      <c r="A43" s="113" t="s">
        <v>51</v>
      </c>
      <c r="B43" s="114" t="s">
        <v>62</v>
      </c>
      <c r="C43" s="114" t="s">
        <v>46</v>
      </c>
      <c r="D43" s="114" t="s">
        <v>45</v>
      </c>
      <c r="E43" s="151" t="s">
        <v>63</v>
      </c>
      <c r="F43" s="142" t="s">
        <v>64</v>
      </c>
    </row>
    <row r="44" spans="1:10" x14ac:dyDescent="0.25">
      <c r="A44" s="98" t="s">
        <v>52</v>
      </c>
      <c r="B44" s="106" t="s">
        <v>53</v>
      </c>
      <c r="C44" s="95" t="s">
        <v>92</v>
      </c>
      <c r="D44" s="95">
        <f>5/1000</f>
        <v>5.0000000000000001E-3</v>
      </c>
      <c r="E44" s="95"/>
      <c r="F44" s="145" t="s">
        <v>59</v>
      </c>
    </row>
    <row r="45" spans="1:10" x14ac:dyDescent="0.25">
      <c r="A45" s="98" t="s">
        <v>4</v>
      </c>
      <c r="B45" s="95" t="s">
        <v>26</v>
      </c>
      <c r="C45" s="95" t="s">
        <v>44</v>
      </c>
      <c r="D45" s="95">
        <v>100</v>
      </c>
      <c r="E45" s="95"/>
      <c r="F45" s="145" t="s">
        <v>59</v>
      </c>
    </row>
    <row r="46" spans="1:10" x14ac:dyDescent="0.25">
      <c r="A46" s="98" t="s">
        <v>5</v>
      </c>
      <c r="B46" s="95" t="s">
        <v>27</v>
      </c>
      <c r="C46" s="95" t="s">
        <v>44</v>
      </c>
      <c r="D46" s="95">
        <v>85</v>
      </c>
      <c r="E46" s="95"/>
      <c r="F46" s="145" t="s">
        <v>59</v>
      </c>
    </row>
    <row r="47" spans="1:10" x14ac:dyDescent="0.25">
      <c r="A47" s="98" t="s">
        <v>9</v>
      </c>
      <c r="B47" s="95" t="s">
        <v>32</v>
      </c>
      <c r="C47" s="95" t="s">
        <v>44</v>
      </c>
      <c r="D47" s="95">
        <v>20</v>
      </c>
      <c r="E47" s="95"/>
      <c r="F47" s="145" t="s">
        <v>59</v>
      </c>
    </row>
    <row r="48" spans="1:10" x14ac:dyDescent="0.25">
      <c r="A48" s="47" t="s">
        <v>10</v>
      </c>
      <c r="B48" s="104" t="s">
        <v>33</v>
      </c>
      <c r="C48" s="104" t="s">
        <v>44</v>
      </c>
      <c r="D48" s="104">
        <v>50</v>
      </c>
      <c r="E48" s="104"/>
      <c r="F48" s="152" t="s">
        <v>59</v>
      </c>
    </row>
    <row r="50" spans="1:22" x14ac:dyDescent="0.25">
      <c r="L50" s="99"/>
      <c r="M50" s="99"/>
      <c r="N50" s="99"/>
      <c r="O50" s="99"/>
      <c r="P50" s="99"/>
      <c r="Q50" s="8"/>
      <c r="R50" s="9"/>
      <c r="S50" s="8"/>
      <c r="T50" s="9"/>
      <c r="U50" s="9"/>
      <c r="V50" s="9"/>
    </row>
    <row r="51" spans="1:22" x14ac:dyDescent="0.25">
      <c r="A51" s="113" t="s">
        <v>54</v>
      </c>
      <c r="B51" s="114" t="s">
        <v>62</v>
      </c>
      <c r="C51" s="114" t="s">
        <v>46</v>
      </c>
      <c r="D51" s="114" t="s">
        <v>45</v>
      </c>
      <c r="E51" s="151" t="s">
        <v>65</v>
      </c>
      <c r="F51" s="142" t="s">
        <v>61</v>
      </c>
    </row>
    <row r="52" spans="1:22" x14ac:dyDescent="0.25">
      <c r="A52" s="98" t="s">
        <v>55</v>
      </c>
      <c r="B52" s="6" t="s">
        <v>67</v>
      </c>
      <c r="C52" s="6" t="s">
        <v>59</v>
      </c>
      <c r="D52" s="110">
        <f>D60*D40*D24/D25</f>
        <v>17170.819330828021</v>
      </c>
      <c r="E52" s="95" t="s">
        <v>100</v>
      </c>
      <c r="F52" s="96" t="s">
        <v>613</v>
      </c>
    </row>
    <row r="53" spans="1:22" x14ac:dyDescent="0.25">
      <c r="A53" s="98" t="s">
        <v>56</v>
      </c>
      <c r="B53" s="6" t="s">
        <v>68</v>
      </c>
      <c r="C53" s="6" t="s">
        <v>59</v>
      </c>
      <c r="D53" s="110">
        <f>D27*D25/D30</f>
        <v>10.664100000000001</v>
      </c>
      <c r="E53" s="95" t="s">
        <v>71</v>
      </c>
      <c r="F53" s="96" t="s">
        <v>613</v>
      </c>
    </row>
    <row r="54" spans="1:22" x14ac:dyDescent="0.25">
      <c r="A54" s="98" t="s">
        <v>57</v>
      </c>
      <c r="B54" s="6" t="s">
        <v>66</v>
      </c>
      <c r="C54" s="6" t="s">
        <v>59</v>
      </c>
      <c r="D54" s="110">
        <f>D61*D28*D40/D29</f>
        <v>12148.872985735843</v>
      </c>
      <c r="E54" s="95" t="s">
        <v>101</v>
      </c>
      <c r="F54" s="96" t="s">
        <v>613</v>
      </c>
    </row>
    <row r="55" spans="1:22" x14ac:dyDescent="0.25">
      <c r="A55" s="47" t="s">
        <v>58</v>
      </c>
      <c r="B55" s="11" t="s">
        <v>69</v>
      </c>
      <c r="C55" s="11" t="s">
        <v>59</v>
      </c>
      <c r="D55" s="124">
        <f>D31*D29/D30</f>
        <v>6.9839400000000014</v>
      </c>
      <c r="E55" s="104" t="s">
        <v>72</v>
      </c>
      <c r="F55" s="96" t="s">
        <v>613</v>
      </c>
    </row>
    <row r="58" spans="1:22" x14ac:dyDescent="0.25">
      <c r="A58" s="113" t="s">
        <v>50</v>
      </c>
      <c r="B58" s="114" t="s">
        <v>62</v>
      </c>
      <c r="C58" s="151" t="s">
        <v>46</v>
      </c>
      <c r="D58" s="114" t="s">
        <v>45</v>
      </c>
      <c r="E58" s="151" t="s">
        <v>65</v>
      </c>
      <c r="F58" s="151" t="s">
        <v>60</v>
      </c>
      <c r="G58" s="142" t="s">
        <v>61</v>
      </c>
    </row>
    <row r="59" spans="1:22" x14ac:dyDescent="0.25">
      <c r="A59" s="98" t="s">
        <v>73</v>
      </c>
      <c r="B59" s="6" t="s">
        <v>80</v>
      </c>
      <c r="C59" s="114" t="s">
        <v>46</v>
      </c>
      <c r="D59" s="109">
        <f>D44*D27*(D45-D46)/(D27*(D48-D47))</f>
        <v>2.4999999999999996E-3</v>
      </c>
      <c r="E59" s="95" t="s">
        <v>82</v>
      </c>
      <c r="F59" s="95" t="s">
        <v>81</v>
      </c>
      <c r="G59" s="96" t="s">
        <v>613</v>
      </c>
    </row>
    <row r="60" spans="1:22" x14ac:dyDescent="0.25">
      <c r="A60" s="97" t="s">
        <v>924</v>
      </c>
      <c r="B60" s="6" t="s">
        <v>95</v>
      </c>
      <c r="C60" s="6" t="s">
        <v>97</v>
      </c>
      <c r="D60" s="110">
        <f>D44/(D35*D41)</f>
        <v>0.18761726078799251</v>
      </c>
      <c r="E60" s="95" t="s">
        <v>98</v>
      </c>
      <c r="F60" s="95"/>
      <c r="G60" s="96" t="s">
        <v>613</v>
      </c>
    </row>
    <row r="61" spans="1:22" x14ac:dyDescent="0.25">
      <c r="A61" s="97" t="s">
        <v>925</v>
      </c>
      <c r="B61" s="6" t="s">
        <v>96</v>
      </c>
      <c r="C61" s="6" t="s">
        <v>97</v>
      </c>
      <c r="D61" s="110">
        <f>D59/(D35*D41)</f>
        <v>9.3808630393996228E-2</v>
      </c>
      <c r="E61" s="95" t="s">
        <v>99</v>
      </c>
      <c r="F61" s="95"/>
      <c r="G61" s="96" t="s">
        <v>613</v>
      </c>
    </row>
    <row r="62" spans="1:22" x14ac:dyDescent="0.25">
      <c r="A62" s="98" t="s">
        <v>74</v>
      </c>
      <c r="B62" s="6" t="s">
        <v>79</v>
      </c>
      <c r="C62" s="6" t="s">
        <v>97</v>
      </c>
      <c r="D62" s="110">
        <f>0.2536*(D54^0.65)*(D55^0.4)*D30/D40</f>
        <v>1150.6566233918495</v>
      </c>
      <c r="E62" s="95" t="s">
        <v>71</v>
      </c>
      <c r="F62" s="95"/>
      <c r="G62" s="96" t="s">
        <v>613</v>
      </c>
    </row>
    <row r="63" spans="1:22" x14ac:dyDescent="0.25">
      <c r="A63" s="98" t="s">
        <v>77</v>
      </c>
      <c r="B63" s="6" t="s">
        <v>78</v>
      </c>
      <c r="C63" s="6" t="s">
        <v>59</v>
      </c>
      <c r="D63" s="110">
        <f>0.2536*D30*(D52^0.65)*(D53^0.4)/D40</f>
        <v>1706.636355715922</v>
      </c>
      <c r="E63" s="95" t="s">
        <v>70</v>
      </c>
      <c r="F63" s="95"/>
      <c r="G63" s="96" t="s">
        <v>613</v>
      </c>
    </row>
    <row r="64" spans="1:22" x14ac:dyDescent="0.25">
      <c r="A64" s="98" t="s">
        <v>75</v>
      </c>
      <c r="B64" s="6" t="s">
        <v>76</v>
      </c>
      <c r="C64" s="6" t="s">
        <v>59</v>
      </c>
      <c r="D64" s="110">
        <f>1/((1/D62)+(1/D63)+(D37/D38*D36))</f>
        <v>674.83514582021326</v>
      </c>
      <c r="E64" s="95" t="s">
        <v>72</v>
      </c>
      <c r="F64" s="95"/>
      <c r="G64" s="96" t="s">
        <v>613</v>
      </c>
    </row>
    <row r="65" spans="1:10" x14ac:dyDescent="0.25">
      <c r="A65" s="47" t="s">
        <v>84</v>
      </c>
      <c r="B65" s="10" t="s">
        <v>85</v>
      </c>
      <c r="C65" s="6" t="s">
        <v>44</v>
      </c>
      <c r="D65" s="124">
        <f>((D45-D48)-(D46-D47))/LN((D45-D48)/(D46-D47))</f>
        <v>57.17242030062603</v>
      </c>
      <c r="E65" s="10" t="s">
        <v>86</v>
      </c>
      <c r="F65" s="104"/>
      <c r="G65" s="96" t="s">
        <v>613</v>
      </c>
    </row>
    <row r="66" spans="1:10" x14ac:dyDescent="0.25">
      <c r="A66" s="98" t="s">
        <v>103</v>
      </c>
      <c r="B66" s="95" t="s">
        <v>104</v>
      </c>
      <c r="C66" s="11" t="s">
        <v>41</v>
      </c>
      <c r="D66" s="110">
        <f>D28*D59*D31*(D48-D47)/(D64*D65)</f>
        <v>8.1148143183522699</v>
      </c>
      <c r="E66" s="4"/>
      <c r="F66" s="4"/>
      <c r="G66" s="145" t="s">
        <v>59</v>
      </c>
    </row>
    <row r="67" spans="1:10" x14ac:dyDescent="0.25">
      <c r="A67" s="47" t="s">
        <v>105</v>
      </c>
      <c r="B67" s="104" t="s">
        <v>106</v>
      </c>
      <c r="C67" s="6" t="s">
        <v>59</v>
      </c>
      <c r="D67" s="124">
        <f>D66/D39</f>
        <v>16.844451101924793</v>
      </c>
      <c r="E67" s="143"/>
      <c r="F67" s="143"/>
      <c r="G67" s="152" t="s">
        <v>59</v>
      </c>
      <c r="J67" s="143"/>
    </row>
    <row r="71" spans="1:10" x14ac:dyDescent="0.25">
      <c r="A71" s="21" t="s">
        <v>606</v>
      </c>
    </row>
    <row r="72" spans="1:10" x14ac:dyDescent="0.25">
      <c r="A72" t="s">
        <v>607</v>
      </c>
    </row>
    <row r="73" spans="1:10" x14ac:dyDescent="0.25">
      <c r="A73" t="s">
        <v>771</v>
      </c>
    </row>
    <row r="74" spans="1:10" x14ac:dyDescent="0.25">
      <c r="A74" t="s">
        <v>930</v>
      </c>
    </row>
    <row r="75" spans="1:10" x14ac:dyDescent="0.25">
      <c r="A75" s="181" t="s">
        <v>926</v>
      </c>
    </row>
    <row r="76" spans="1:10" x14ac:dyDescent="0.25">
      <c r="A76" t="s">
        <v>929</v>
      </c>
    </row>
  </sheetData>
  <mergeCells count="1">
    <mergeCell ref="A1:F12"/>
  </mergeCells>
  <pageMargins left="0.7" right="0.7" top="0.75" bottom="0.75" header="0.3" footer="0.3"/>
  <pageSetup paperSize="9" orientation="portrait" r:id="rId1"/>
  <drawing r:id="rId2"/>
  <tableParts count="6">
    <tablePart r:id="rId3"/>
    <tablePart r:id="rId4"/>
    <tablePart r:id="rId5"/>
    <tablePart r:id="rId6"/>
    <tablePart r:id="rId7"/>
    <tablePart r:id="rId8"/>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opLeftCell="A16" workbookViewId="0">
      <selection activeCell="D17" sqref="D17"/>
    </sheetView>
  </sheetViews>
  <sheetFormatPr baseColWidth="10" defaultRowHeight="15" x14ac:dyDescent="0.25"/>
  <cols>
    <col min="1" max="1" width="33.5703125" bestFit="1" customWidth="1"/>
    <col min="2" max="2" width="37.5703125" bestFit="1" customWidth="1"/>
    <col min="3" max="3" width="24" bestFit="1" customWidth="1"/>
    <col min="4" max="4" width="23.28515625" bestFit="1" customWidth="1"/>
    <col min="5" max="5" width="57.7109375" bestFit="1" customWidth="1"/>
    <col min="6" max="6" width="19.28515625" bestFit="1" customWidth="1"/>
    <col min="7" max="7" width="27.28515625" customWidth="1"/>
    <col min="9" max="9" width="21.7109375" customWidth="1"/>
  </cols>
  <sheetData>
    <row r="1" spans="1:7" ht="31.5" customHeight="1" x14ac:dyDescent="0.25">
      <c r="A1" s="371"/>
      <c r="B1" s="371"/>
      <c r="C1" s="371"/>
      <c r="D1" s="371"/>
      <c r="E1" s="371"/>
      <c r="F1" s="371"/>
    </row>
    <row r="2" spans="1:7" ht="15" customHeight="1" x14ac:dyDescent="0.25">
      <c r="A2" s="371"/>
      <c r="B2" s="371"/>
      <c r="C2" s="371"/>
      <c r="D2" s="371"/>
      <c r="E2" s="371"/>
      <c r="F2" s="371"/>
    </row>
    <row r="3" spans="1:7" ht="15" customHeight="1" x14ac:dyDescent="0.25">
      <c r="A3" s="371"/>
      <c r="B3" s="371"/>
      <c r="C3" s="371"/>
      <c r="D3" s="371"/>
      <c r="E3" s="371"/>
      <c r="F3" s="371"/>
    </row>
    <row r="4" spans="1:7" ht="15" customHeight="1" x14ac:dyDescent="0.25">
      <c r="A4" s="371"/>
      <c r="B4" s="371"/>
      <c r="C4" s="371"/>
      <c r="D4" s="371"/>
      <c r="E4" s="371"/>
      <c r="F4" s="371"/>
    </row>
    <row r="5" spans="1:7" ht="15" customHeight="1" x14ac:dyDescent="0.25">
      <c r="A5" s="371"/>
      <c r="B5" s="371"/>
      <c r="C5" s="371"/>
      <c r="D5" s="371"/>
      <c r="E5" s="371"/>
      <c r="F5" s="371"/>
    </row>
    <row r="6" spans="1:7" ht="15" customHeight="1" x14ac:dyDescent="0.25">
      <c r="A6" s="371"/>
      <c r="B6" s="371"/>
      <c r="C6" s="371"/>
      <c r="D6" s="371"/>
      <c r="E6" s="371"/>
      <c r="F6" s="371"/>
    </row>
    <row r="7" spans="1:7" ht="15" customHeight="1" x14ac:dyDescent="0.25">
      <c r="A7" s="371"/>
      <c r="B7" s="371"/>
      <c r="C7" s="371"/>
      <c r="D7" s="371"/>
      <c r="E7" s="371"/>
      <c r="F7" s="371"/>
    </row>
    <row r="8" spans="1:7" x14ac:dyDescent="0.25">
      <c r="A8" s="371"/>
      <c r="B8" s="371"/>
      <c r="C8" s="371"/>
      <c r="D8" s="371"/>
      <c r="E8" s="371"/>
      <c r="F8" s="371"/>
    </row>
    <row r="11" spans="1:7" ht="23.25" x14ac:dyDescent="0.35">
      <c r="A11" s="138" t="s">
        <v>872</v>
      </c>
    </row>
    <row r="13" spans="1:7" ht="21" x14ac:dyDescent="0.35">
      <c r="B13" s="137" t="s">
        <v>438</v>
      </c>
    </row>
    <row r="14" spans="1:7" x14ac:dyDescent="0.25">
      <c r="C14" s="42" t="s">
        <v>911</v>
      </c>
      <c r="D14" s="114" t="s">
        <v>784</v>
      </c>
      <c r="E14" s="43" t="s">
        <v>912</v>
      </c>
      <c r="G14" s="116" t="s">
        <v>917</v>
      </c>
    </row>
    <row r="15" spans="1:7" x14ac:dyDescent="0.25">
      <c r="B15" s="112" t="s">
        <v>910</v>
      </c>
      <c r="C15" s="98">
        <f>Cocción!G21*Cocción!D21/1000</f>
        <v>12.800000000000161</v>
      </c>
      <c r="D15" s="95">
        <f>C15-E15</f>
        <v>0</v>
      </c>
      <c r="E15" s="96">
        <f>C15</f>
        <v>12.800000000000161</v>
      </c>
      <c r="G15" s="169">
        <f>D17/Cocción!D20</f>
        <v>9317.3600947878949</v>
      </c>
    </row>
    <row r="16" spans="1:7" x14ac:dyDescent="0.25">
      <c r="B16" s="106" t="s">
        <v>775</v>
      </c>
      <c r="C16" s="98">
        <f>Cocción!D22</f>
        <v>484.98879999999997</v>
      </c>
      <c r="D16" s="95">
        <f>C16-E16</f>
        <v>0</v>
      </c>
      <c r="E16" s="96">
        <f>C16</f>
        <v>484.98879999999997</v>
      </c>
    </row>
    <row r="17" spans="1:7" x14ac:dyDescent="0.25">
      <c r="B17" s="112" t="s">
        <v>783</v>
      </c>
      <c r="C17" s="47">
        <f>Cocción!D21*Cocción!D20</f>
        <v>10467.219623384613</v>
      </c>
      <c r="D17" s="104">
        <f>C17-E17</f>
        <v>10392.551303384613</v>
      </c>
      <c r="E17" s="48">
        <f>(E15+E16)*(1+C21)-((E15+E16))</f>
        <v>74.668319999999994</v>
      </c>
    </row>
    <row r="18" spans="1:7" x14ac:dyDescent="0.25">
      <c r="C18" s="94" t="s">
        <v>194</v>
      </c>
      <c r="D18" s="94">
        <f>SUM(C15:C17)-SUM(E15:E17)-D17</f>
        <v>0</v>
      </c>
    </row>
    <row r="20" spans="1:7" x14ac:dyDescent="0.25">
      <c r="B20" s="113" t="s">
        <v>913</v>
      </c>
      <c r="C20" s="43" t="s">
        <v>45</v>
      </c>
    </row>
    <row r="21" spans="1:7" x14ac:dyDescent="0.25">
      <c r="B21" s="47" t="s">
        <v>914</v>
      </c>
      <c r="C21" s="178">
        <f>15%</f>
        <v>0.15</v>
      </c>
    </row>
    <row r="22" spans="1:7" x14ac:dyDescent="0.25">
      <c r="B22" s="47" t="s">
        <v>916</v>
      </c>
      <c r="C22" s="178">
        <v>1</v>
      </c>
    </row>
    <row r="24" spans="1:7" ht="23.25" x14ac:dyDescent="0.35">
      <c r="A24" s="138" t="s">
        <v>224</v>
      </c>
      <c r="B24" s="137" t="s">
        <v>438</v>
      </c>
    </row>
    <row r="25" spans="1:7" x14ac:dyDescent="0.25">
      <c r="B25" s="94"/>
      <c r="C25" s="42" t="s">
        <v>911</v>
      </c>
      <c r="D25" s="114" t="s">
        <v>915</v>
      </c>
      <c r="E25" s="43" t="s">
        <v>912</v>
      </c>
      <c r="G25" s="94" t="s">
        <v>917</v>
      </c>
    </row>
    <row r="26" spans="1:7" x14ac:dyDescent="0.25">
      <c r="B26" s="118" t="s">
        <v>910</v>
      </c>
      <c r="C26" s="98">
        <f>Cocción!G40*Cocción!D40/1000</f>
        <v>10.512000000000056</v>
      </c>
      <c r="D26" s="95">
        <v>0</v>
      </c>
      <c r="E26" s="96">
        <f>C26</f>
        <v>10.512000000000056</v>
      </c>
      <c r="G26" s="94">
        <f>D28/Cocción!D39</f>
        <v>11579.619106750019</v>
      </c>
    </row>
    <row r="27" spans="1:7" x14ac:dyDescent="0.25">
      <c r="B27" s="106" t="s">
        <v>775</v>
      </c>
      <c r="C27" s="98">
        <f>Cocción!D41</f>
        <v>65.448744747136473</v>
      </c>
      <c r="D27" s="95">
        <v>0</v>
      </c>
      <c r="E27" s="96">
        <f>C27</f>
        <v>65.448744747136473</v>
      </c>
    </row>
    <row r="28" spans="1:7" x14ac:dyDescent="0.25">
      <c r="B28" s="118" t="s">
        <v>783</v>
      </c>
      <c r="C28" s="47">
        <f>Cocción!D40*Cocción!D39</f>
        <v>12484.097092773531</v>
      </c>
      <c r="D28" s="104">
        <f>C28-E28</f>
        <v>12472.70298106146</v>
      </c>
      <c r="E28" s="48">
        <f>(E26+E27)*(1+C21)-SUM(E26:E27)</f>
        <v>11.394111712070469</v>
      </c>
    </row>
    <row r="29" spans="1:7" x14ac:dyDescent="0.25">
      <c r="C29" s="94" t="s">
        <v>194</v>
      </c>
      <c r="D29" s="94">
        <f>SUM(Tabla55[Entradas '[kg']])-D28-E28-E27-E26</f>
        <v>4.4231285301066237E-13</v>
      </c>
    </row>
    <row r="31" spans="1:7" x14ac:dyDescent="0.25">
      <c r="B31" s="42" t="s">
        <v>918</v>
      </c>
      <c r="C31" s="43" t="s">
        <v>45</v>
      </c>
      <c r="D31" s="94"/>
      <c r="E31" s="94"/>
      <c r="F31" s="94"/>
    </row>
    <row r="32" spans="1:7" x14ac:dyDescent="0.25">
      <c r="B32" s="98" t="s">
        <v>919</v>
      </c>
      <c r="C32" s="177">
        <v>0.15</v>
      </c>
    </row>
    <row r="33" spans="1:7" x14ac:dyDescent="0.25">
      <c r="B33" s="47" t="s">
        <v>916</v>
      </c>
      <c r="C33" s="178">
        <v>1</v>
      </c>
    </row>
    <row r="35" spans="1:7" ht="23.25" x14ac:dyDescent="0.35">
      <c r="A35" s="138" t="s">
        <v>871</v>
      </c>
      <c r="B35" s="137" t="s">
        <v>438</v>
      </c>
    </row>
    <row r="36" spans="1:7" x14ac:dyDescent="0.25">
      <c r="C36" s="179" t="s">
        <v>920</v>
      </c>
      <c r="D36" s="114" t="s">
        <v>921</v>
      </c>
      <c r="E36" s="43" t="s">
        <v>912</v>
      </c>
      <c r="G36" s="105" t="s">
        <v>922</v>
      </c>
    </row>
    <row r="37" spans="1:7" x14ac:dyDescent="0.25">
      <c r="B37" s="117" t="s">
        <v>910</v>
      </c>
      <c r="C37" s="98">
        <f>Cocción!G59*Cocción!D59/1000</f>
        <v>7.6605239236426534</v>
      </c>
      <c r="D37" s="95">
        <v>0</v>
      </c>
      <c r="E37" s="96">
        <f>C37</f>
        <v>7.6605239236426534</v>
      </c>
      <c r="G37" s="169">
        <f>D39/Cocción!D58</f>
        <v>9103.1880880883145</v>
      </c>
    </row>
    <row r="38" spans="1:7" x14ac:dyDescent="0.25">
      <c r="B38" s="106" t="s">
        <v>775</v>
      </c>
      <c r="C38" s="98">
        <f>Cocción!D60</f>
        <v>496.34084361478426</v>
      </c>
      <c r="D38" s="95">
        <v>0</v>
      </c>
      <c r="E38" s="96">
        <f>C38</f>
        <v>496.34084361478426</v>
      </c>
    </row>
    <row r="39" spans="1:7" x14ac:dyDescent="0.25">
      <c r="B39" s="117" t="s">
        <v>783</v>
      </c>
      <c r="C39" s="47">
        <f>Cocción!D59*Cocción!D58</f>
        <v>9825.7382771671819</v>
      </c>
      <c r="D39" s="104">
        <f>C39-E39</f>
        <v>9750.1380720364177</v>
      </c>
      <c r="E39" s="48">
        <f>(E37+E38)*(1+C43)-(E37+E38)</f>
        <v>75.600205130763982</v>
      </c>
    </row>
    <row r="40" spans="1:7" x14ac:dyDescent="0.25">
      <c r="C40" s="94"/>
      <c r="D40" s="94"/>
      <c r="E40" s="94"/>
      <c r="F40" s="94"/>
    </row>
    <row r="42" spans="1:7" x14ac:dyDescent="0.25">
      <c r="B42" s="42" t="s">
        <v>913</v>
      </c>
      <c r="C42" s="43" t="s">
        <v>923</v>
      </c>
    </row>
    <row r="43" spans="1:7" x14ac:dyDescent="0.25">
      <c r="B43" s="98" t="s">
        <v>919</v>
      </c>
      <c r="C43" s="177">
        <v>0.15</v>
      </c>
    </row>
    <row r="44" spans="1:7" x14ac:dyDescent="0.25">
      <c r="B44" s="47" t="s">
        <v>916</v>
      </c>
      <c r="C44" s="178">
        <v>1</v>
      </c>
    </row>
    <row r="47" spans="1:7" x14ac:dyDescent="0.25">
      <c r="D47" s="94"/>
      <c r="E47" s="94"/>
      <c r="F47" s="94"/>
      <c r="G47" s="94"/>
    </row>
  </sheetData>
  <mergeCells count="1">
    <mergeCell ref="A1:F8"/>
  </mergeCells>
  <pageMargins left="0.7" right="0.7" top="0.75" bottom="0.75" header="0.3" footer="0.3"/>
  <pageSetup paperSize="9" orientation="portrait" r:id="rId1"/>
  <ignoredErrors>
    <ignoredError sqref="E15:E16" calculatedColumn="1"/>
  </ignoredErrors>
  <drawing r:id="rId2"/>
  <tableParts count="9">
    <tablePart r:id="rId3"/>
    <tablePart r:id="rId4"/>
    <tablePart r:id="rId5"/>
    <tablePart r:id="rId6"/>
    <tablePart r:id="rId7"/>
    <tablePart r:id="rId8"/>
    <tablePart r:id="rId9"/>
    <tablePart r:id="rId10"/>
    <tablePart r:id="rId1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topLeftCell="A23" zoomScale="85" zoomScaleNormal="85" workbookViewId="0">
      <selection activeCell="F18" sqref="F18"/>
    </sheetView>
  </sheetViews>
  <sheetFormatPr baseColWidth="10" defaultRowHeight="15" x14ac:dyDescent="0.25"/>
  <cols>
    <col min="1" max="1" width="36.7109375" customWidth="1"/>
    <col min="2" max="2" width="24.42578125" bestFit="1" customWidth="1"/>
    <col min="3" max="3" width="15.7109375" customWidth="1"/>
    <col min="4" max="4" width="34.7109375" customWidth="1"/>
    <col min="5" max="5" width="27.140625" customWidth="1"/>
    <col min="6" max="6" width="23.28515625" customWidth="1"/>
    <col min="7" max="7" width="14.7109375" customWidth="1"/>
    <col min="8" max="8" width="14.5703125" customWidth="1"/>
    <col min="9" max="9" width="75.28515625" bestFit="1" customWidth="1"/>
    <col min="10" max="10" width="70.140625" bestFit="1" customWidth="1"/>
    <col min="11" max="11" width="17.85546875" customWidth="1"/>
  </cols>
  <sheetData>
    <row r="1" spans="1:14" x14ac:dyDescent="0.25">
      <c r="A1" s="357"/>
      <c r="B1" s="357"/>
      <c r="C1" s="357"/>
      <c r="D1" s="357"/>
      <c r="E1" s="357"/>
      <c r="F1" s="357"/>
      <c r="G1" s="357"/>
      <c r="H1" s="357"/>
      <c r="I1" s="357"/>
      <c r="J1" s="357"/>
      <c r="K1" s="357"/>
      <c r="L1" s="357"/>
      <c r="M1" s="357"/>
      <c r="N1" s="357"/>
    </row>
    <row r="2" spans="1:14" x14ac:dyDescent="0.25">
      <c r="A2" s="357"/>
      <c r="B2" s="357"/>
      <c r="C2" s="357"/>
      <c r="D2" s="357"/>
      <c r="E2" s="357"/>
      <c r="F2" s="357"/>
      <c r="G2" s="357"/>
      <c r="H2" s="357"/>
      <c r="I2" s="357"/>
      <c r="J2" s="357"/>
      <c r="K2" s="357"/>
      <c r="L2" s="357"/>
      <c r="M2" s="357"/>
      <c r="N2" s="357"/>
    </row>
    <row r="3" spans="1:14" x14ac:dyDescent="0.25">
      <c r="A3" s="357"/>
      <c r="B3" s="357"/>
      <c r="C3" s="357"/>
      <c r="D3" s="357"/>
      <c r="E3" s="357"/>
      <c r="F3" s="357"/>
      <c r="G3" s="357"/>
      <c r="H3" s="357"/>
      <c r="I3" s="357"/>
      <c r="J3" s="357"/>
      <c r="K3" s="357"/>
      <c r="L3" s="357"/>
      <c r="M3" s="357"/>
      <c r="N3" s="357"/>
    </row>
    <row r="4" spans="1:14" x14ac:dyDescent="0.25">
      <c r="A4" s="357"/>
      <c r="B4" s="357"/>
      <c r="C4" s="357"/>
      <c r="D4" s="357"/>
      <c r="E4" s="357"/>
      <c r="F4" s="357"/>
      <c r="G4" s="357"/>
      <c r="H4" s="357"/>
      <c r="I4" s="357"/>
      <c r="J4" s="357"/>
      <c r="K4" s="357"/>
      <c r="L4" s="357"/>
      <c r="M4" s="357"/>
      <c r="N4" s="357"/>
    </row>
    <row r="5" spans="1:14" x14ac:dyDescent="0.25">
      <c r="A5" s="357"/>
      <c r="B5" s="357"/>
      <c r="C5" s="357"/>
      <c r="D5" s="357"/>
      <c r="E5" s="357"/>
      <c r="F5" s="357"/>
      <c r="G5" s="357"/>
      <c r="H5" s="357"/>
      <c r="I5" s="357"/>
      <c r="J5" s="357"/>
      <c r="K5" s="357"/>
      <c r="L5" s="357"/>
      <c r="M5" s="357"/>
      <c r="N5" s="357"/>
    </row>
    <row r="6" spans="1:14" x14ac:dyDescent="0.25">
      <c r="A6" s="357"/>
      <c r="B6" s="357"/>
      <c r="C6" s="357"/>
      <c r="D6" s="357"/>
      <c r="E6" s="357"/>
      <c r="F6" s="357"/>
      <c r="G6" s="357"/>
      <c r="H6" s="357"/>
      <c r="I6" s="357"/>
      <c r="J6" s="357"/>
      <c r="K6" s="357"/>
      <c r="L6" s="357"/>
      <c r="M6" s="357"/>
      <c r="N6" s="357"/>
    </row>
    <row r="7" spans="1:14" x14ac:dyDescent="0.25">
      <c r="A7" s="357"/>
      <c r="B7" s="357"/>
      <c r="C7" s="357"/>
      <c r="D7" s="357"/>
      <c r="E7" s="357"/>
      <c r="F7" s="357"/>
      <c r="G7" s="357"/>
      <c r="H7" s="357"/>
      <c r="I7" s="357"/>
      <c r="J7" s="357"/>
      <c r="K7" s="357"/>
      <c r="L7" s="357"/>
      <c r="M7" s="357"/>
      <c r="N7" s="357"/>
    </row>
    <row r="8" spans="1:14" x14ac:dyDescent="0.25">
      <c r="A8" s="357"/>
      <c r="B8" s="357"/>
      <c r="C8" s="357"/>
      <c r="D8" s="357"/>
      <c r="E8" s="357"/>
      <c r="F8" s="357"/>
      <c r="G8" s="357"/>
      <c r="H8" s="357"/>
      <c r="I8" s="357"/>
      <c r="J8" s="357"/>
      <c r="K8" s="357"/>
      <c r="L8" s="357"/>
      <c r="M8" s="357"/>
      <c r="N8" s="357"/>
    </row>
    <row r="9" spans="1:14" x14ac:dyDescent="0.25">
      <c r="A9" s="357"/>
      <c r="B9" s="357"/>
      <c r="C9" s="357"/>
      <c r="D9" s="357"/>
      <c r="E9" s="357"/>
      <c r="F9" s="357"/>
      <c r="G9" s="357"/>
      <c r="H9" s="357"/>
      <c r="I9" s="357"/>
      <c r="J9" s="357"/>
      <c r="K9" s="357"/>
      <c r="L9" s="357"/>
      <c r="M9" s="357"/>
      <c r="N9" s="357"/>
    </row>
    <row r="10" spans="1:14" x14ac:dyDescent="0.25">
      <c r="A10" s="357"/>
      <c r="B10" s="357"/>
      <c r="C10" s="357"/>
      <c r="D10" s="357"/>
      <c r="E10" s="357"/>
      <c r="F10" s="357"/>
      <c r="G10" s="357"/>
      <c r="H10" s="357"/>
      <c r="I10" s="357"/>
      <c r="J10" s="357"/>
      <c r="K10" s="357"/>
      <c r="L10" s="357"/>
      <c r="M10" s="357"/>
      <c r="N10" s="357"/>
    </row>
    <row r="11" spans="1:14" x14ac:dyDescent="0.25">
      <c r="A11" s="357"/>
      <c r="B11" s="357"/>
      <c r="C11" s="357"/>
      <c r="D11" s="357"/>
      <c r="E11" s="357"/>
      <c r="F11" s="357"/>
      <c r="G11" s="357"/>
      <c r="H11" s="357"/>
      <c r="I11" s="357"/>
      <c r="J11" s="357"/>
      <c r="K11" s="357"/>
      <c r="L11" s="357"/>
      <c r="M11" s="357"/>
      <c r="N11" s="357"/>
    </row>
    <row r="12" spans="1:14" x14ac:dyDescent="0.25">
      <c r="A12" s="357"/>
      <c r="B12" s="357"/>
      <c r="C12" s="357"/>
      <c r="D12" s="357"/>
      <c r="E12" s="357"/>
      <c r="F12" s="357"/>
      <c r="G12" s="357"/>
      <c r="H12" s="357"/>
      <c r="I12" s="357"/>
      <c r="J12" s="357"/>
      <c r="K12" s="357"/>
      <c r="L12" s="357"/>
      <c r="M12" s="357"/>
      <c r="N12" s="357"/>
    </row>
    <row r="13" spans="1:14" x14ac:dyDescent="0.25">
      <c r="A13" s="357"/>
      <c r="B13" s="357"/>
      <c r="C13" s="357"/>
      <c r="D13" s="357"/>
      <c r="E13" s="357"/>
      <c r="F13" s="357"/>
      <c r="G13" s="357"/>
      <c r="H13" s="357"/>
      <c r="I13" s="357"/>
      <c r="J13" s="357"/>
      <c r="K13" s="357"/>
      <c r="L13" s="357"/>
      <c r="M13" s="357"/>
      <c r="N13" s="357"/>
    </row>
    <row r="15" spans="1:14" x14ac:dyDescent="0.25">
      <c r="B15" s="2" t="s">
        <v>107</v>
      </c>
      <c r="C15" s="14" t="s">
        <v>62</v>
      </c>
      <c r="D15" s="14" t="s">
        <v>117</v>
      </c>
      <c r="E15" s="14" t="s">
        <v>116</v>
      </c>
      <c r="F15" s="14" t="s">
        <v>118</v>
      </c>
      <c r="G15" s="14"/>
    </row>
    <row r="16" spans="1:14" x14ac:dyDescent="0.25">
      <c r="B16" s="14" t="s">
        <v>110</v>
      </c>
      <c r="C16" s="14" t="s">
        <v>108</v>
      </c>
      <c r="D16" s="136">
        <f>D18</f>
        <v>5.0000000000000001E-3</v>
      </c>
      <c r="E16" s="136">
        <f>D16*D25</f>
        <v>5.3856274831142086</v>
      </c>
      <c r="F16" s="14">
        <v>85</v>
      </c>
      <c r="G16" s="14"/>
    </row>
    <row r="17" spans="1:7" x14ac:dyDescent="0.25">
      <c r="B17" s="14" t="s">
        <v>109</v>
      </c>
      <c r="C17" s="14" t="s">
        <v>113</v>
      </c>
      <c r="D17" s="350">
        <f>D60</f>
        <v>6.5000000000000006E-3</v>
      </c>
      <c r="E17" s="136">
        <f>D17*D29</f>
        <v>6.4883000000000006</v>
      </c>
      <c r="F17" s="14">
        <v>20</v>
      </c>
      <c r="G17" s="14"/>
    </row>
    <row r="18" spans="1:7" x14ac:dyDescent="0.25">
      <c r="B18" s="14" t="s">
        <v>112</v>
      </c>
      <c r="C18" s="14" t="s">
        <v>114</v>
      </c>
      <c r="D18" s="136">
        <f>D45</f>
        <v>5.0000000000000001E-3</v>
      </c>
      <c r="E18" s="136">
        <f>D18*D25</f>
        <v>5.3856274831142086</v>
      </c>
      <c r="F18" s="14">
        <v>20</v>
      </c>
      <c r="G18" s="14"/>
    </row>
    <row r="19" spans="1:7" x14ac:dyDescent="0.25">
      <c r="B19" s="14" t="s">
        <v>111</v>
      </c>
      <c r="C19" s="14" t="s">
        <v>115</v>
      </c>
      <c r="D19" s="350">
        <f>D17</f>
        <v>6.5000000000000006E-3</v>
      </c>
      <c r="E19" s="136">
        <f>D19*D29</f>
        <v>6.4883000000000006</v>
      </c>
      <c r="F19" s="14">
        <v>50</v>
      </c>
      <c r="G19" s="14"/>
    </row>
    <row r="20" spans="1:7" x14ac:dyDescent="0.25">
      <c r="B20" t="s">
        <v>927</v>
      </c>
      <c r="C20" t="s">
        <v>61</v>
      </c>
      <c r="D20" t="s">
        <v>194</v>
      </c>
    </row>
    <row r="21" spans="1:7" x14ac:dyDescent="0.25">
      <c r="B21" t="s">
        <v>928</v>
      </c>
      <c r="C21" s="94" t="s">
        <v>614</v>
      </c>
      <c r="D21">
        <f>(D16+D17-D18-D19)*100/D16</f>
        <v>-1.7347234759768071E-14</v>
      </c>
    </row>
    <row r="24" spans="1:7" x14ac:dyDescent="0.25">
      <c r="A24" s="113" t="s">
        <v>11</v>
      </c>
      <c r="B24" s="114" t="s">
        <v>1</v>
      </c>
      <c r="C24" s="114" t="s">
        <v>46</v>
      </c>
      <c r="D24" s="114" t="s">
        <v>45</v>
      </c>
      <c r="E24" s="151" t="s">
        <v>60</v>
      </c>
      <c r="F24" s="142" t="s">
        <v>61</v>
      </c>
      <c r="G24" s="3"/>
    </row>
    <row r="25" spans="1:7" x14ac:dyDescent="0.25">
      <c r="A25" s="98" t="s">
        <v>0</v>
      </c>
      <c r="B25" s="95" t="s">
        <v>21</v>
      </c>
      <c r="C25" s="95" t="s">
        <v>19</v>
      </c>
      <c r="D25" s="110">
        <f>1000*Cocción!D39</f>
        <v>1077.1254966228416</v>
      </c>
      <c r="E25" s="95"/>
      <c r="F25" s="96" t="s">
        <v>158</v>
      </c>
    </row>
    <row r="26" spans="1:7" x14ac:dyDescent="0.25">
      <c r="A26" s="98" t="s">
        <v>2</v>
      </c>
      <c r="B26" s="5" t="s">
        <v>22</v>
      </c>
      <c r="C26" s="95" t="s">
        <v>42</v>
      </c>
      <c r="D26" s="110">
        <f>1.53*10^-3</f>
        <v>1.5300000000000001E-3</v>
      </c>
      <c r="E26" s="95" t="s">
        <v>87</v>
      </c>
      <c r="F26" s="96" t="s">
        <v>158</v>
      </c>
    </row>
    <row r="27" spans="1:7" x14ac:dyDescent="0.25">
      <c r="A27" s="98" t="s">
        <v>23</v>
      </c>
      <c r="B27" s="95" t="s">
        <v>24</v>
      </c>
      <c r="C27" s="95" t="s">
        <v>43</v>
      </c>
      <c r="D27" s="110">
        <v>0.6</v>
      </c>
      <c r="E27" s="95" t="s">
        <v>88</v>
      </c>
      <c r="F27" s="96" t="s">
        <v>158</v>
      </c>
    </row>
    <row r="28" spans="1:7" x14ac:dyDescent="0.25">
      <c r="A28" s="98" t="s">
        <v>3</v>
      </c>
      <c r="B28" s="95" t="s">
        <v>25</v>
      </c>
      <c r="C28" s="95" t="s">
        <v>102</v>
      </c>
      <c r="D28" s="110">
        <f>4182</f>
        <v>4182</v>
      </c>
      <c r="E28" s="95" t="s">
        <v>89</v>
      </c>
      <c r="F28" s="96" t="s">
        <v>158</v>
      </c>
    </row>
    <row r="29" spans="1:7" x14ac:dyDescent="0.25">
      <c r="A29" s="98" t="s">
        <v>6</v>
      </c>
      <c r="B29" s="95" t="s">
        <v>20</v>
      </c>
      <c r="C29" s="95" t="s">
        <v>19</v>
      </c>
      <c r="D29" s="110">
        <v>998.2</v>
      </c>
      <c r="E29" s="95"/>
      <c r="F29" s="96" t="s">
        <v>159</v>
      </c>
    </row>
    <row r="30" spans="1:7" x14ac:dyDescent="0.25">
      <c r="A30" s="98" t="s">
        <v>7</v>
      </c>
      <c r="B30" s="5" t="s">
        <v>28</v>
      </c>
      <c r="C30" s="95" t="s">
        <v>42</v>
      </c>
      <c r="D30" s="110">
        <f>1.002*10^-3</f>
        <v>1.0020000000000001E-3</v>
      </c>
      <c r="E30" s="95"/>
      <c r="F30" s="96" t="s">
        <v>159</v>
      </c>
    </row>
    <row r="31" spans="1:7" x14ac:dyDescent="0.25">
      <c r="A31" s="98" t="s">
        <v>30</v>
      </c>
      <c r="B31" s="95" t="s">
        <v>29</v>
      </c>
      <c r="C31" s="95" t="s">
        <v>83</v>
      </c>
      <c r="D31" s="110">
        <v>0.6</v>
      </c>
      <c r="E31" s="95"/>
      <c r="F31" s="96" t="s">
        <v>159</v>
      </c>
    </row>
    <row r="32" spans="1:7" x14ac:dyDescent="0.25">
      <c r="A32" s="98" t="s">
        <v>8</v>
      </c>
      <c r="B32" s="95" t="s">
        <v>31</v>
      </c>
      <c r="C32" s="95" t="s">
        <v>102</v>
      </c>
      <c r="D32" s="110">
        <f>4182</f>
        <v>4182</v>
      </c>
      <c r="E32" s="95"/>
      <c r="F32" s="96" t="s">
        <v>159</v>
      </c>
    </row>
    <row r="33" spans="1:10" x14ac:dyDescent="0.25">
      <c r="A33" s="173" t="s">
        <v>47</v>
      </c>
      <c r="B33" s="104" t="s">
        <v>48</v>
      </c>
      <c r="C33" s="104" t="s">
        <v>49</v>
      </c>
      <c r="D33" s="124">
        <v>9.8000000000000007</v>
      </c>
      <c r="E33" s="104"/>
      <c r="F33" s="152" t="s">
        <v>59</v>
      </c>
    </row>
    <row r="34" spans="1:10" x14ac:dyDescent="0.25">
      <c r="A34" s="14"/>
      <c r="B34" s="14"/>
      <c r="C34" s="14"/>
      <c r="D34" s="14"/>
      <c r="E34" s="14"/>
      <c r="F34" s="14"/>
      <c r="G34" s="14"/>
      <c r="H34" s="14"/>
      <c r="I34" s="94"/>
      <c r="J34" s="14"/>
    </row>
    <row r="35" spans="1:10" x14ac:dyDescent="0.25">
      <c r="A35" s="125" t="s">
        <v>12</v>
      </c>
      <c r="B35" s="114" t="s">
        <v>62</v>
      </c>
      <c r="C35" s="114" t="s">
        <v>46</v>
      </c>
      <c r="D35" s="114" t="s">
        <v>45</v>
      </c>
      <c r="E35" s="142" t="s">
        <v>61</v>
      </c>
    </row>
    <row r="36" spans="1:10" x14ac:dyDescent="0.25">
      <c r="A36" s="98" t="s">
        <v>13</v>
      </c>
      <c r="B36" s="95" t="s">
        <v>34</v>
      </c>
      <c r="C36" s="95" t="s">
        <v>40</v>
      </c>
      <c r="D36" s="110">
        <v>0.32</v>
      </c>
      <c r="E36" s="96" t="s">
        <v>168</v>
      </c>
    </row>
    <row r="37" spans="1:10" x14ac:dyDescent="0.25">
      <c r="A37" s="98" t="s">
        <v>14</v>
      </c>
      <c r="B37" s="95" t="s">
        <v>35</v>
      </c>
      <c r="C37" s="95" t="s">
        <v>40</v>
      </c>
      <c r="D37" s="110">
        <v>0.92</v>
      </c>
      <c r="E37" s="96" t="s">
        <v>168</v>
      </c>
    </row>
    <row r="38" spans="1:10" x14ac:dyDescent="0.25">
      <c r="A38" s="98" t="s">
        <v>15</v>
      </c>
      <c r="B38" s="106" t="s">
        <v>36</v>
      </c>
      <c r="C38" s="95" t="s">
        <v>40</v>
      </c>
      <c r="D38" s="110">
        <v>5.0000000000000001E-4</v>
      </c>
      <c r="E38" s="96" t="s">
        <v>168</v>
      </c>
    </row>
    <row r="39" spans="1:10" x14ac:dyDescent="0.25">
      <c r="A39" s="98" t="s">
        <v>16</v>
      </c>
      <c r="B39" s="106" t="s">
        <v>37</v>
      </c>
      <c r="C39" s="95" t="s">
        <v>83</v>
      </c>
      <c r="D39" s="110">
        <v>21.9</v>
      </c>
      <c r="E39" s="96" t="s">
        <v>168</v>
      </c>
    </row>
    <row r="40" spans="1:10" x14ac:dyDescent="0.25">
      <c r="A40" s="98" t="s">
        <v>17</v>
      </c>
      <c r="B40" s="106" t="s">
        <v>38</v>
      </c>
      <c r="C40" s="95" t="s">
        <v>41</v>
      </c>
      <c r="D40" s="110">
        <f>D36*D37</f>
        <v>0.2944</v>
      </c>
      <c r="E40" s="96" t="s">
        <v>168</v>
      </c>
    </row>
    <row r="41" spans="1:10" x14ac:dyDescent="0.25">
      <c r="A41" s="98" t="s">
        <v>18</v>
      </c>
      <c r="B41" s="106" t="s">
        <v>39</v>
      </c>
      <c r="C41" s="95" t="s">
        <v>40</v>
      </c>
      <c r="D41" s="110">
        <f>2*D42</f>
        <v>1.2E-2</v>
      </c>
      <c r="E41" s="96" t="s">
        <v>168</v>
      </c>
      <c r="F41" s="14"/>
    </row>
    <row r="42" spans="1:10" x14ac:dyDescent="0.25">
      <c r="A42" s="47" t="s">
        <v>90</v>
      </c>
      <c r="B42" s="174" t="s">
        <v>91</v>
      </c>
      <c r="C42" s="104" t="s">
        <v>40</v>
      </c>
      <c r="D42" s="104">
        <v>6.0000000000000001E-3</v>
      </c>
      <c r="E42" s="96" t="s">
        <v>168</v>
      </c>
      <c r="F42" s="14"/>
    </row>
    <row r="44" spans="1:10" x14ac:dyDescent="0.25">
      <c r="A44" s="113" t="s">
        <v>51</v>
      </c>
      <c r="B44" s="114" t="s">
        <v>62</v>
      </c>
      <c r="C44" s="114" t="s">
        <v>46</v>
      </c>
      <c r="D44" s="114" t="s">
        <v>45</v>
      </c>
      <c r="E44" s="151" t="s">
        <v>63</v>
      </c>
      <c r="F44" s="142" t="s">
        <v>64</v>
      </c>
    </row>
    <row r="45" spans="1:10" x14ac:dyDescent="0.25">
      <c r="A45" s="98" t="s">
        <v>52</v>
      </c>
      <c r="B45" s="106" t="s">
        <v>53</v>
      </c>
      <c r="C45" s="95" t="s">
        <v>92</v>
      </c>
      <c r="D45" s="95">
        <f>5/1000</f>
        <v>5.0000000000000001E-3</v>
      </c>
      <c r="E45" s="95"/>
      <c r="F45" s="145" t="s">
        <v>59</v>
      </c>
    </row>
    <row r="46" spans="1:10" x14ac:dyDescent="0.25">
      <c r="A46" s="98" t="s">
        <v>4</v>
      </c>
      <c r="B46" s="95" t="s">
        <v>26</v>
      </c>
      <c r="C46" s="95" t="s">
        <v>44</v>
      </c>
      <c r="D46" s="95">
        <v>85</v>
      </c>
      <c r="E46" s="95"/>
      <c r="F46" s="145" t="s">
        <v>59</v>
      </c>
    </row>
    <row r="47" spans="1:10" x14ac:dyDescent="0.25">
      <c r="A47" s="98" t="s">
        <v>5</v>
      </c>
      <c r="B47" s="95" t="s">
        <v>27</v>
      </c>
      <c r="C47" s="95" t="s">
        <v>44</v>
      </c>
      <c r="D47" s="95">
        <v>20</v>
      </c>
      <c r="E47" s="95"/>
      <c r="F47" s="145" t="s">
        <v>59</v>
      </c>
    </row>
    <row r="48" spans="1:10" x14ac:dyDescent="0.25">
      <c r="A48" s="98" t="s">
        <v>9</v>
      </c>
      <c r="B48" s="95" t="s">
        <v>32</v>
      </c>
      <c r="C48" s="95" t="s">
        <v>44</v>
      </c>
      <c r="D48" s="95">
        <v>20</v>
      </c>
      <c r="E48" s="95"/>
      <c r="F48" s="145" t="s">
        <v>59</v>
      </c>
    </row>
    <row r="49" spans="1:7" x14ac:dyDescent="0.25">
      <c r="A49" s="47" t="s">
        <v>10</v>
      </c>
      <c r="B49" s="104" t="s">
        <v>33</v>
      </c>
      <c r="C49" s="104" t="s">
        <v>44</v>
      </c>
      <c r="D49" s="104">
        <v>70</v>
      </c>
      <c r="E49" s="104"/>
      <c r="F49" s="152" t="s">
        <v>59</v>
      </c>
    </row>
    <row r="52" spans="1:7" x14ac:dyDescent="0.25">
      <c r="A52" s="113" t="s">
        <v>54</v>
      </c>
      <c r="B52" s="114" t="s">
        <v>62</v>
      </c>
      <c r="C52" s="114" t="s">
        <v>46</v>
      </c>
      <c r="D52" s="114" t="s">
        <v>45</v>
      </c>
      <c r="E52" s="151" t="s">
        <v>65</v>
      </c>
      <c r="F52" s="142" t="s">
        <v>61</v>
      </c>
    </row>
    <row r="53" spans="1:7" x14ac:dyDescent="0.25">
      <c r="A53" s="98" t="s">
        <v>55</v>
      </c>
      <c r="B53" s="6" t="s">
        <v>67</v>
      </c>
      <c r="C53" s="6" t="s">
        <v>59</v>
      </c>
      <c r="D53" s="110">
        <f>D61*D41*D25/D26</f>
        <v>22000.112267623397</v>
      </c>
      <c r="E53" s="95" t="s">
        <v>100</v>
      </c>
      <c r="F53" s="96" t="s">
        <v>613</v>
      </c>
    </row>
    <row r="54" spans="1:7" x14ac:dyDescent="0.25">
      <c r="A54" s="98" t="s">
        <v>56</v>
      </c>
      <c r="B54" s="6" t="s">
        <v>68</v>
      </c>
      <c r="C54" s="6" t="s">
        <v>59</v>
      </c>
      <c r="D54" s="110">
        <f>D28*D26/D31</f>
        <v>10.664100000000001</v>
      </c>
      <c r="E54" s="95" t="s">
        <v>71</v>
      </c>
      <c r="F54" s="96" t="s">
        <v>613</v>
      </c>
    </row>
    <row r="55" spans="1:7" x14ac:dyDescent="0.25">
      <c r="A55" s="98" t="s">
        <v>57</v>
      </c>
      <c r="B55" s="6" t="s">
        <v>66</v>
      </c>
      <c r="C55" s="6" t="s">
        <v>59</v>
      </c>
      <c r="D55" s="110">
        <f>D62*D29*D41/D30</f>
        <v>40470.933133732535</v>
      </c>
      <c r="E55" s="95" t="s">
        <v>101</v>
      </c>
      <c r="F55" s="96" t="s">
        <v>613</v>
      </c>
    </row>
    <row r="56" spans="1:7" x14ac:dyDescent="0.25">
      <c r="A56" s="47" t="s">
        <v>58</v>
      </c>
      <c r="B56" s="11" t="s">
        <v>69</v>
      </c>
      <c r="C56" s="11" t="s">
        <v>59</v>
      </c>
      <c r="D56" s="124">
        <f>D32*D30/D31</f>
        <v>6.9839400000000014</v>
      </c>
      <c r="E56" s="104" t="s">
        <v>72</v>
      </c>
      <c r="F56" s="48" t="s">
        <v>613</v>
      </c>
    </row>
    <row r="59" spans="1:7" x14ac:dyDescent="0.25">
      <c r="A59" s="113" t="s">
        <v>50</v>
      </c>
      <c r="B59" s="114" t="s">
        <v>62</v>
      </c>
      <c r="C59" s="114" t="s">
        <v>46</v>
      </c>
      <c r="D59" s="114" t="s">
        <v>45</v>
      </c>
      <c r="E59" s="151" t="s">
        <v>65</v>
      </c>
      <c r="F59" s="151" t="s">
        <v>60</v>
      </c>
      <c r="G59" s="142" t="s">
        <v>61</v>
      </c>
    </row>
    <row r="60" spans="1:7" x14ac:dyDescent="0.25">
      <c r="A60" s="98" t="s">
        <v>73</v>
      </c>
      <c r="B60" s="6" t="s">
        <v>80</v>
      </c>
      <c r="C60" s="114" t="s">
        <v>46</v>
      </c>
      <c r="D60" s="110">
        <f>D45*D28*(D46-D47)/(D28*(D49-D48))</f>
        <v>6.5000000000000006E-3</v>
      </c>
      <c r="E60" s="95" t="s">
        <v>82</v>
      </c>
      <c r="F60" s="95" t="s">
        <v>81</v>
      </c>
      <c r="G60" s="145" t="s">
        <v>59</v>
      </c>
    </row>
    <row r="61" spans="1:7" x14ac:dyDescent="0.25">
      <c r="A61" s="97" t="s">
        <v>94</v>
      </c>
      <c r="B61" s="6" t="s">
        <v>95</v>
      </c>
      <c r="C61" s="6" t="s">
        <v>97</v>
      </c>
      <c r="D61" s="110">
        <f>D45/(D36*D42)</f>
        <v>2.6041666666666665</v>
      </c>
      <c r="E61" s="95" t="s">
        <v>98</v>
      </c>
      <c r="F61" s="95"/>
      <c r="G61" s="145" t="s">
        <v>59</v>
      </c>
    </row>
    <row r="62" spans="1:7" x14ac:dyDescent="0.25">
      <c r="A62" s="97" t="s">
        <v>93</v>
      </c>
      <c r="B62" s="6" t="s">
        <v>96</v>
      </c>
      <c r="C62" s="6" t="s">
        <v>97</v>
      </c>
      <c r="D62" s="110">
        <f>D60/(D36*D42)</f>
        <v>3.385416666666667</v>
      </c>
      <c r="E62" s="95" t="s">
        <v>99</v>
      </c>
      <c r="F62" s="95"/>
      <c r="G62" s="145" t="s">
        <v>59</v>
      </c>
    </row>
    <row r="63" spans="1:7" x14ac:dyDescent="0.25">
      <c r="A63" s="98" t="s">
        <v>74</v>
      </c>
      <c r="B63" s="6" t="s">
        <v>79</v>
      </c>
      <c r="C63" s="6" t="s">
        <v>97</v>
      </c>
      <c r="D63" s="110">
        <f>0.2536*(D55^0.65)*(D56^0.4)*D31/D41</f>
        <v>27252.261343963666</v>
      </c>
      <c r="E63" s="95" t="s">
        <v>71</v>
      </c>
      <c r="F63" s="95"/>
      <c r="G63" s="96" t="s">
        <v>613</v>
      </c>
    </row>
    <row r="64" spans="1:7" x14ac:dyDescent="0.25">
      <c r="A64" s="98" t="s">
        <v>77</v>
      </c>
      <c r="B64" s="6" t="s">
        <v>78</v>
      </c>
      <c r="C64" s="6" t="s">
        <v>59</v>
      </c>
      <c r="D64" s="110">
        <f>0.2536*D31*(D53^0.65)*(D54^0.4)/D41</f>
        <v>21720.265029984712</v>
      </c>
      <c r="E64" s="95" t="s">
        <v>70</v>
      </c>
      <c r="F64" s="95"/>
      <c r="G64" s="96" t="s">
        <v>613</v>
      </c>
    </row>
    <row r="65" spans="1:7" x14ac:dyDescent="0.25">
      <c r="A65" s="98" t="s">
        <v>75</v>
      </c>
      <c r="B65" s="6" t="s">
        <v>76</v>
      </c>
      <c r="C65" s="6" t="s">
        <v>59</v>
      </c>
      <c r="D65" s="110">
        <f>1/((1/D63)+(1/D64)+(D38/D39*D37))</f>
        <v>9639.6020101764971</v>
      </c>
      <c r="E65" s="95" t="s">
        <v>72</v>
      </c>
      <c r="F65" s="95"/>
      <c r="G65" s="96" t="s">
        <v>613</v>
      </c>
    </row>
    <row r="66" spans="1:7" x14ac:dyDescent="0.25">
      <c r="A66" s="47" t="s">
        <v>84</v>
      </c>
      <c r="B66" s="10" t="s">
        <v>85</v>
      </c>
      <c r="C66" s="6" t="s">
        <v>44</v>
      </c>
      <c r="D66" s="124" t="e">
        <f>((D46-D49)-(D47-D48))/LN((D46-D49)/(D47-D48))</f>
        <v>#DIV/0!</v>
      </c>
      <c r="E66" s="10" t="s">
        <v>86</v>
      </c>
      <c r="F66" s="104"/>
      <c r="G66" s="96" t="s">
        <v>613</v>
      </c>
    </row>
    <row r="67" spans="1:7" x14ac:dyDescent="0.25">
      <c r="A67" s="98" t="s">
        <v>103</v>
      </c>
      <c r="B67" s="95" t="s">
        <v>104</v>
      </c>
      <c r="C67" s="11" t="s">
        <v>41</v>
      </c>
      <c r="D67" s="110" t="e">
        <f>D29*D60*D32*(D49-D48)/(D65*D66)</f>
        <v>#DIV/0!</v>
      </c>
      <c r="E67" s="4"/>
      <c r="F67" s="4"/>
      <c r="G67" s="145" t="s">
        <v>59</v>
      </c>
    </row>
    <row r="68" spans="1:7" x14ac:dyDescent="0.25">
      <c r="A68" s="47" t="s">
        <v>105</v>
      </c>
      <c r="B68" s="104" t="s">
        <v>106</v>
      </c>
      <c r="C68" s="6" t="s">
        <v>59</v>
      </c>
      <c r="D68" s="124" t="e">
        <f>D67/D40</f>
        <v>#DIV/0!</v>
      </c>
      <c r="E68" s="143"/>
      <c r="F68" s="143"/>
      <c r="G68" s="152" t="s">
        <v>59</v>
      </c>
    </row>
    <row r="72" spans="1:7" x14ac:dyDescent="0.25">
      <c r="A72" t="s">
        <v>607</v>
      </c>
    </row>
    <row r="73" spans="1:7" x14ac:dyDescent="0.25">
      <c r="A73" t="s">
        <v>771</v>
      </c>
    </row>
    <row r="74" spans="1:7" x14ac:dyDescent="0.25">
      <c r="A74" t="s">
        <v>931</v>
      </c>
    </row>
    <row r="75" spans="1:7" x14ac:dyDescent="0.25">
      <c r="A75" s="181" t="s">
        <v>926</v>
      </c>
    </row>
    <row r="76" spans="1:7" x14ac:dyDescent="0.25">
      <c r="A76" t="s">
        <v>929</v>
      </c>
    </row>
  </sheetData>
  <mergeCells count="1">
    <mergeCell ref="A1:N13"/>
  </mergeCells>
  <pageMargins left="0.7" right="0.7" top="0.75" bottom="0.75" header="0.3" footer="0.3"/>
  <drawing r:id="rId1"/>
  <tableParts count="6">
    <tablePart r:id="rId2"/>
    <tablePart r:id="rId3"/>
    <tablePart r:id="rId4"/>
    <tablePart r:id="rId5"/>
    <tablePart r:id="rId6"/>
    <tablePart r:id="rId7"/>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9"/>
  <sheetViews>
    <sheetView topLeftCell="F103" zoomScale="50" zoomScaleNormal="50" workbookViewId="0">
      <selection activeCell="C92" sqref="C92"/>
    </sheetView>
  </sheetViews>
  <sheetFormatPr baseColWidth="10" defaultRowHeight="15" x14ac:dyDescent="0.25"/>
  <cols>
    <col min="1" max="1" width="51.140625" customWidth="1"/>
    <col min="2" max="2" width="11.7109375" customWidth="1"/>
    <col min="3" max="3" width="56.28515625" bestFit="1" customWidth="1"/>
    <col min="4" max="4" width="33.85546875" style="34" bestFit="1" customWidth="1"/>
    <col min="5" max="5" width="83.28515625" style="232" bestFit="1" customWidth="1"/>
    <col min="6" max="6" width="27.28515625" style="232" customWidth="1"/>
    <col min="7" max="7" width="100.7109375" style="232" customWidth="1"/>
    <col min="8" max="8" width="78.42578125" style="232" bestFit="1" customWidth="1"/>
    <col min="9" max="9" width="42.7109375" bestFit="1" customWidth="1"/>
    <col min="10" max="10" width="28.85546875" bestFit="1" customWidth="1"/>
    <col min="11" max="11" width="29" bestFit="1" customWidth="1"/>
    <col min="12" max="12" width="20.42578125" bestFit="1" customWidth="1"/>
    <col min="13" max="13" width="12.7109375" bestFit="1" customWidth="1"/>
    <col min="14" max="14" width="11.85546875" bestFit="1" customWidth="1"/>
    <col min="15" max="15" width="16" bestFit="1" customWidth="1"/>
    <col min="16" max="16" width="11.28515625" bestFit="1" customWidth="1"/>
  </cols>
  <sheetData>
    <row r="1" spans="2:10" x14ac:dyDescent="0.25">
      <c r="B1" s="357"/>
      <c r="C1" s="357"/>
      <c r="D1" s="357"/>
      <c r="E1" s="357"/>
      <c r="F1" s="357"/>
      <c r="G1" s="357"/>
      <c r="H1" s="357"/>
      <c r="I1" s="357"/>
      <c r="J1" s="357"/>
    </row>
    <row r="2" spans="2:10" x14ac:dyDescent="0.25">
      <c r="B2" s="357"/>
      <c r="C2" s="357"/>
      <c r="D2" s="357"/>
      <c r="E2" s="357"/>
      <c r="F2" s="357"/>
      <c r="G2" s="357"/>
      <c r="H2" s="357"/>
      <c r="I2" s="357"/>
      <c r="J2" s="357"/>
    </row>
    <row r="3" spans="2:10" x14ac:dyDescent="0.25">
      <c r="B3" s="357"/>
      <c r="C3" s="357"/>
      <c r="D3" s="357"/>
      <c r="E3" s="357"/>
      <c r="F3" s="357"/>
      <c r="G3" s="357"/>
      <c r="H3" s="357"/>
      <c r="I3" s="357"/>
      <c r="J3" s="357"/>
    </row>
    <row r="4" spans="2:10" x14ac:dyDescent="0.25">
      <c r="B4" s="357"/>
      <c r="C4" s="357"/>
      <c r="D4" s="357"/>
      <c r="E4" s="357"/>
      <c r="F4" s="357"/>
      <c r="G4" s="357"/>
      <c r="H4" s="357"/>
      <c r="I4" s="357"/>
      <c r="J4" s="357"/>
    </row>
    <row r="5" spans="2:10" x14ac:dyDescent="0.25">
      <c r="B5" s="357"/>
      <c r="C5" s="357"/>
      <c r="D5" s="357"/>
      <c r="E5" s="357"/>
      <c r="F5" s="357"/>
      <c r="G5" s="357"/>
      <c r="H5" s="357"/>
      <c r="I5" s="357"/>
      <c r="J5" s="357"/>
    </row>
    <row r="6" spans="2:10" x14ac:dyDescent="0.25">
      <c r="B6" s="357"/>
      <c r="C6" s="357"/>
      <c r="D6" s="357"/>
      <c r="E6" s="357"/>
      <c r="F6" s="357"/>
      <c r="G6" s="357"/>
      <c r="H6" s="357"/>
      <c r="I6" s="357"/>
      <c r="J6" s="357"/>
    </row>
    <row r="7" spans="2:10" x14ac:dyDescent="0.25">
      <c r="B7" s="357"/>
      <c r="C7" s="357"/>
      <c r="D7" s="357"/>
      <c r="E7" s="357"/>
      <c r="F7" s="357"/>
      <c r="G7" s="357"/>
      <c r="H7" s="357"/>
      <c r="I7" s="357"/>
      <c r="J7" s="357"/>
    </row>
    <row r="9" spans="2:10" x14ac:dyDescent="0.25">
      <c r="C9" s="232" t="s">
        <v>430</v>
      </c>
      <c r="D9" s="232" t="s">
        <v>429</v>
      </c>
      <c r="E9" s="232" t="s">
        <v>428</v>
      </c>
      <c r="F9" s="232" t="s">
        <v>427</v>
      </c>
    </row>
    <row r="10" spans="2:10" x14ac:dyDescent="0.25">
      <c r="C10" s="232">
        <v>1</v>
      </c>
      <c r="D10" s="34">
        <v>15</v>
      </c>
      <c r="E10" s="34">
        <v>48</v>
      </c>
      <c r="F10" s="34">
        <f>15*60</f>
        <v>900</v>
      </c>
    </row>
    <row r="11" spans="2:10" x14ac:dyDescent="0.25">
      <c r="C11" s="232">
        <v>2</v>
      </c>
      <c r="D11" s="248">
        <v>48</v>
      </c>
      <c r="E11" s="248">
        <v>52</v>
      </c>
      <c r="F11" s="248">
        <f>20*60</f>
        <v>1200</v>
      </c>
    </row>
    <row r="12" spans="2:10" x14ac:dyDescent="0.25">
      <c r="C12" s="276">
        <v>3</v>
      </c>
      <c r="D12" s="34">
        <v>52</v>
      </c>
      <c r="E12" s="34">
        <v>58</v>
      </c>
      <c r="F12" s="34">
        <f>10*60</f>
        <v>600</v>
      </c>
      <c r="G12" s="276"/>
      <c r="H12" s="276"/>
    </row>
    <row r="13" spans="2:10" x14ac:dyDescent="0.25">
      <c r="C13" s="276">
        <v>4</v>
      </c>
      <c r="D13" s="34">
        <v>58</v>
      </c>
      <c r="E13" s="34">
        <v>62</v>
      </c>
      <c r="F13" s="34">
        <v>1440</v>
      </c>
      <c r="G13" s="276"/>
      <c r="H13" s="276"/>
    </row>
    <row r="14" spans="2:10" x14ac:dyDescent="0.25">
      <c r="C14" s="276">
        <v>5</v>
      </c>
      <c r="D14" s="34">
        <v>62</v>
      </c>
      <c r="E14" s="34">
        <v>70</v>
      </c>
      <c r="F14" s="34">
        <f>10*60</f>
        <v>600</v>
      </c>
      <c r="G14" s="276"/>
      <c r="H14" s="276"/>
    </row>
    <row r="15" spans="2:10" x14ac:dyDescent="0.25">
      <c r="C15" s="276">
        <v>6</v>
      </c>
      <c r="D15" s="34">
        <v>70</v>
      </c>
      <c r="E15" s="34">
        <v>74</v>
      </c>
      <c r="F15" s="34">
        <f>10*60</f>
        <v>600</v>
      </c>
      <c r="G15" s="276"/>
      <c r="H15" s="276"/>
    </row>
    <row r="16" spans="2:10" x14ac:dyDescent="0.25">
      <c r="C16" s="232" t="s">
        <v>1078</v>
      </c>
      <c r="D16" s="34">
        <v>74</v>
      </c>
      <c r="E16" s="34">
        <v>100</v>
      </c>
      <c r="F16" s="34">
        <v>3600</v>
      </c>
    </row>
    <row r="18" spans="1:8" x14ac:dyDescent="0.25">
      <c r="A18" s="113" t="s">
        <v>11</v>
      </c>
      <c r="B18" s="261" t="s">
        <v>62</v>
      </c>
      <c r="C18" s="114" t="s">
        <v>45</v>
      </c>
      <c r="D18" s="114" t="s">
        <v>46</v>
      </c>
      <c r="E18" s="114" t="s">
        <v>60</v>
      </c>
      <c r="F18" s="43" t="s">
        <v>61</v>
      </c>
      <c r="G18"/>
      <c r="H18"/>
    </row>
    <row r="19" spans="1:8" x14ac:dyDescent="0.25">
      <c r="A19" s="249" t="s">
        <v>461</v>
      </c>
      <c r="B19" s="55" t="s">
        <v>465</v>
      </c>
      <c r="C19" s="236">
        <f>'Reactor Batch 1'!C124</f>
        <v>1.1038568948599894</v>
      </c>
      <c r="D19" s="236" t="s">
        <v>1199</v>
      </c>
      <c r="E19" s="236"/>
      <c r="F19" s="242" t="s">
        <v>158</v>
      </c>
      <c r="G19"/>
      <c r="H19"/>
    </row>
    <row r="20" spans="1:8" x14ac:dyDescent="0.25">
      <c r="A20" s="249" t="s">
        <v>462</v>
      </c>
      <c r="B20" s="55" t="s">
        <v>466</v>
      </c>
      <c r="C20" s="236">
        <f>'Reactor Batch 1'!C149</f>
        <v>1.0694129469605576</v>
      </c>
      <c r="D20" s="290" t="s">
        <v>1199</v>
      </c>
      <c r="E20" s="236"/>
      <c r="F20" s="242" t="s">
        <v>158</v>
      </c>
      <c r="G20"/>
      <c r="H20"/>
    </row>
    <row r="21" spans="1:8" x14ac:dyDescent="0.25">
      <c r="A21" s="243" t="s">
        <v>463</v>
      </c>
      <c r="B21" s="55" t="s">
        <v>464</v>
      </c>
      <c r="C21" s="236">
        <f>'Reactor Batch 1'!C173</f>
        <v>1.0639616560614826</v>
      </c>
      <c r="D21" s="290" t="s">
        <v>1199</v>
      </c>
      <c r="E21" s="236"/>
      <c r="F21" s="242" t="s">
        <v>158</v>
      </c>
      <c r="G21"/>
      <c r="H21"/>
    </row>
    <row r="22" spans="1:8" x14ac:dyDescent="0.25">
      <c r="A22" s="243" t="s">
        <v>2</v>
      </c>
      <c r="B22" s="60" t="s">
        <v>22</v>
      </c>
      <c r="C22" s="236">
        <f>1.53*10^-3</f>
        <v>1.5300000000000001E-3</v>
      </c>
      <c r="D22" s="236" t="s">
        <v>42</v>
      </c>
      <c r="E22" s="236"/>
      <c r="F22" s="242" t="s">
        <v>159</v>
      </c>
      <c r="G22"/>
      <c r="H22"/>
    </row>
    <row r="23" spans="1:8" x14ac:dyDescent="0.25">
      <c r="A23" s="243" t="s">
        <v>23</v>
      </c>
      <c r="B23" s="55" t="s">
        <v>24</v>
      </c>
      <c r="C23" s="236">
        <v>0.6</v>
      </c>
      <c r="D23" s="236" t="s">
        <v>43</v>
      </c>
      <c r="E23" s="236"/>
      <c r="F23" s="242" t="s">
        <v>159</v>
      </c>
      <c r="G23"/>
      <c r="H23"/>
    </row>
    <row r="24" spans="1:8" x14ac:dyDescent="0.25">
      <c r="A24" s="243" t="s">
        <v>3</v>
      </c>
      <c r="B24" s="55" t="s">
        <v>25</v>
      </c>
      <c r="C24" s="236">
        <f>4.182</f>
        <v>4.1820000000000004</v>
      </c>
      <c r="D24" s="236" t="s">
        <v>102</v>
      </c>
      <c r="E24" s="236" t="s">
        <v>617</v>
      </c>
      <c r="F24" s="242"/>
      <c r="G24"/>
      <c r="H24"/>
    </row>
    <row r="25" spans="1:8" x14ac:dyDescent="0.25">
      <c r="A25" s="243" t="s">
        <v>426</v>
      </c>
      <c r="B25" s="55" t="s">
        <v>425</v>
      </c>
      <c r="C25" s="236">
        <v>0.55420000000000003</v>
      </c>
      <c r="D25" s="236" t="s">
        <v>19</v>
      </c>
      <c r="E25" s="236"/>
      <c r="F25" s="242" t="s">
        <v>168</v>
      </c>
      <c r="G25"/>
      <c r="H25"/>
    </row>
    <row r="26" spans="1:8" x14ac:dyDescent="0.25">
      <c r="A26" s="243" t="s">
        <v>424</v>
      </c>
      <c r="B26" s="60" t="s">
        <v>423</v>
      </c>
      <c r="C26" s="236">
        <v>13.44</v>
      </c>
      <c r="D26" s="236" t="s">
        <v>42</v>
      </c>
      <c r="E26" s="236"/>
      <c r="F26" s="242" t="s">
        <v>168</v>
      </c>
      <c r="G26"/>
      <c r="H26"/>
    </row>
    <row r="27" spans="1:8" x14ac:dyDescent="0.25">
      <c r="A27" s="243" t="s">
        <v>422</v>
      </c>
      <c r="B27" s="55" t="s">
        <v>421</v>
      </c>
      <c r="C27" s="236">
        <v>2.6100000000000002E-2</v>
      </c>
      <c r="D27" s="236" t="s">
        <v>410</v>
      </c>
      <c r="E27" s="236"/>
      <c r="F27" s="242" t="s">
        <v>168</v>
      </c>
      <c r="G27"/>
      <c r="H27"/>
    </row>
    <row r="28" spans="1:8" x14ac:dyDescent="0.25">
      <c r="A28" s="243" t="s">
        <v>420</v>
      </c>
      <c r="B28" s="55" t="s">
        <v>419</v>
      </c>
      <c r="C28" s="236">
        <v>1.93</v>
      </c>
      <c r="D28" s="236" t="s">
        <v>418</v>
      </c>
      <c r="E28" s="236"/>
      <c r="F28" s="242" t="s">
        <v>168</v>
      </c>
      <c r="G28"/>
      <c r="H28"/>
    </row>
    <row r="29" spans="1:8" x14ac:dyDescent="0.25">
      <c r="A29" s="243" t="s">
        <v>417</v>
      </c>
      <c r="B29" s="55" t="s">
        <v>416</v>
      </c>
      <c r="C29" s="236">
        <f>(0.3289+0.3008)/2</f>
        <v>0.31485000000000002</v>
      </c>
      <c r="D29" s="236" t="s">
        <v>398</v>
      </c>
      <c r="E29" s="236"/>
      <c r="F29" s="269" t="s">
        <v>613</v>
      </c>
      <c r="G29"/>
      <c r="H29"/>
    </row>
    <row r="30" spans="1:8" x14ac:dyDescent="0.25">
      <c r="A30" s="243" t="s">
        <v>415</v>
      </c>
      <c r="B30" s="60" t="s">
        <v>414</v>
      </c>
      <c r="C30" s="236">
        <f>4.481*10^-5</f>
        <v>4.481E-5</v>
      </c>
      <c r="D30" s="236" t="s">
        <v>413</v>
      </c>
      <c r="E30" s="236"/>
      <c r="F30" s="269" t="s">
        <v>613</v>
      </c>
      <c r="G30"/>
      <c r="H30"/>
    </row>
    <row r="31" spans="1:8" x14ac:dyDescent="0.25">
      <c r="A31" s="243" t="s">
        <v>412</v>
      </c>
      <c r="B31" s="55" t="s">
        <v>411</v>
      </c>
      <c r="C31" s="236">
        <v>6.0299999999999999E-2</v>
      </c>
      <c r="D31" s="236" t="s">
        <v>410</v>
      </c>
      <c r="E31" s="236"/>
      <c r="F31" s="269" t="s">
        <v>613</v>
      </c>
      <c r="G31"/>
      <c r="H31"/>
    </row>
    <row r="32" spans="1:8" x14ac:dyDescent="0.25">
      <c r="A32" s="243" t="s">
        <v>409</v>
      </c>
      <c r="B32" s="55" t="s">
        <v>408</v>
      </c>
      <c r="C32" s="236">
        <v>1.012</v>
      </c>
      <c r="D32" s="236" t="s">
        <v>407</v>
      </c>
      <c r="E32" s="236"/>
      <c r="F32" s="269" t="s">
        <v>613</v>
      </c>
      <c r="G32"/>
      <c r="H32"/>
    </row>
    <row r="33" spans="1:9" x14ac:dyDescent="0.25">
      <c r="A33" s="243" t="s">
        <v>406</v>
      </c>
      <c r="B33" s="61" t="s">
        <v>405</v>
      </c>
      <c r="C33" s="236">
        <f>28.966/1000</f>
        <v>2.8966000000000002E-2</v>
      </c>
      <c r="D33" s="236" t="s">
        <v>404</v>
      </c>
      <c r="E33" s="236"/>
      <c r="F33" s="269" t="s">
        <v>613</v>
      </c>
      <c r="G33"/>
      <c r="H33"/>
    </row>
    <row r="34" spans="1:9" x14ac:dyDescent="0.25">
      <c r="A34" s="243" t="s">
        <v>403</v>
      </c>
      <c r="B34" s="61" t="s">
        <v>402</v>
      </c>
      <c r="C34" s="236">
        <v>8.3140000000000001</v>
      </c>
      <c r="D34" s="236" t="s">
        <v>401</v>
      </c>
      <c r="E34" s="236"/>
      <c r="F34" s="242"/>
      <c r="G34"/>
      <c r="H34"/>
    </row>
    <row r="35" spans="1:9" x14ac:dyDescent="0.25">
      <c r="A35" s="243" t="s">
        <v>400</v>
      </c>
      <c r="B35" s="55" t="s">
        <v>399</v>
      </c>
      <c r="C35" s="236">
        <v>850</v>
      </c>
      <c r="D35" s="236" t="s">
        <v>398</v>
      </c>
      <c r="E35" s="236"/>
      <c r="F35" s="242"/>
      <c r="G35"/>
      <c r="H35"/>
    </row>
    <row r="36" spans="1:9" x14ac:dyDescent="0.25">
      <c r="A36" s="47" t="s">
        <v>397</v>
      </c>
      <c r="B36" s="212" t="s">
        <v>396</v>
      </c>
      <c r="C36" s="104">
        <f>3780/0.238</f>
        <v>15882.352941176472</v>
      </c>
      <c r="D36" s="104" t="s">
        <v>395</v>
      </c>
      <c r="E36" s="104"/>
      <c r="F36" s="48"/>
      <c r="G36"/>
      <c r="H36"/>
    </row>
    <row r="37" spans="1:9" x14ac:dyDescent="0.25">
      <c r="A37" s="358"/>
      <c r="B37" s="359"/>
      <c r="C37" s="360"/>
      <c r="I37" s="4"/>
    </row>
    <row r="38" spans="1:9" x14ac:dyDescent="0.25">
      <c r="A38" s="113" t="s">
        <v>51</v>
      </c>
      <c r="B38" s="261" t="s">
        <v>62</v>
      </c>
      <c r="C38" s="114" t="s">
        <v>45</v>
      </c>
      <c r="D38" s="114" t="s">
        <v>46</v>
      </c>
      <c r="E38" s="114" t="s">
        <v>65</v>
      </c>
      <c r="F38" s="114" t="s">
        <v>60</v>
      </c>
      <c r="G38" s="75" t="s">
        <v>61</v>
      </c>
      <c r="H38"/>
    </row>
    <row r="39" spans="1:9" x14ac:dyDescent="0.25">
      <c r="A39" s="243" t="s">
        <v>394</v>
      </c>
      <c r="B39" s="55" t="s">
        <v>393</v>
      </c>
      <c r="C39" s="236">
        <v>1.5</v>
      </c>
      <c r="D39" s="236" t="s">
        <v>392</v>
      </c>
      <c r="E39" s="236"/>
      <c r="F39" s="236"/>
      <c r="G39" s="4" t="s">
        <v>366</v>
      </c>
      <c r="H39"/>
    </row>
    <row r="40" spans="1:9" x14ac:dyDescent="0.25">
      <c r="A40" s="243" t="s">
        <v>391</v>
      </c>
      <c r="B40" s="55" t="s">
        <v>368</v>
      </c>
      <c r="C40" s="236">
        <v>140</v>
      </c>
      <c r="D40" s="236" t="s">
        <v>288</v>
      </c>
      <c r="E40" s="236"/>
      <c r="F40" s="236" t="s">
        <v>367</v>
      </c>
      <c r="G40" s="4"/>
      <c r="H40"/>
    </row>
    <row r="41" spans="1:9" x14ac:dyDescent="0.25">
      <c r="A41" s="243" t="s">
        <v>390</v>
      </c>
      <c r="B41" s="55" t="s">
        <v>198</v>
      </c>
      <c r="C41" s="236" t="s">
        <v>198</v>
      </c>
      <c r="D41" s="236"/>
      <c r="E41" s="236"/>
      <c r="F41" s="236"/>
      <c r="G41" s="4"/>
      <c r="H41"/>
    </row>
    <row r="42" spans="1:9" x14ac:dyDescent="0.25">
      <c r="A42" s="243" t="s">
        <v>389</v>
      </c>
      <c r="B42" s="60" t="s">
        <v>388</v>
      </c>
      <c r="C42" s="236">
        <v>0.98</v>
      </c>
      <c r="D42" s="236" t="s">
        <v>198</v>
      </c>
      <c r="E42" s="236"/>
      <c r="F42" s="236" t="s">
        <v>387</v>
      </c>
      <c r="G42" s="4"/>
      <c r="H42"/>
    </row>
    <row r="43" spans="1:9" x14ac:dyDescent="0.25">
      <c r="A43" s="243" t="s">
        <v>386</v>
      </c>
      <c r="B43" s="55" t="s">
        <v>385</v>
      </c>
      <c r="C43" s="236">
        <f>C75</f>
        <v>90.482943005181326</v>
      </c>
      <c r="D43" s="236"/>
      <c r="E43" s="236"/>
      <c r="F43" s="236" t="s">
        <v>383</v>
      </c>
      <c r="G43" s="4" t="s">
        <v>380</v>
      </c>
      <c r="H43"/>
    </row>
    <row r="44" spans="1:9" x14ac:dyDescent="0.25">
      <c r="A44" s="243" t="s">
        <v>384</v>
      </c>
      <c r="B44" s="55" t="s">
        <v>327</v>
      </c>
      <c r="C44" s="236">
        <f>C82</f>
        <v>142.85714285714286</v>
      </c>
      <c r="D44" s="236"/>
      <c r="E44" s="236"/>
      <c r="F44" s="236" t="s">
        <v>383</v>
      </c>
      <c r="G44" s="4"/>
      <c r="H44"/>
    </row>
    <row r="45" spans="1:9" x14ac:dyDescent="0.25">
      <c r="A45" s="243" t="s">
        <v>382</v>
      </c>
      <c r="B45" s="55" t="s">
        <v>381</v>
      </c>
      <c r="C45" s="236">
        <v>800</v>
      </c>
      <c r="D45" s="236" t="s">
        <v>288</v>
      </c>
      <c r="E45" s="236"/>
      <c r="F45" s="236"/>
      <c r="G45"/>
      <c r="H45"/>
    </row>
    <row r="46" spans="1:9" x14ac:dyDescent="0.25">
      <c r="A46" s="47" t="s">
        <v>379</v>
      </c>
      <c r="B46" s="241" t="s">
        <v>378</v>
      </c>
      <c r="C46" s="104">
        <f>SQRT(((C45+273)*C34*3/C33))</f>
        <v>961.21653999519776</v>
      </c>
      <c r="D46" s="104" t="s">
        <v>97</v>
      </c>
      <c r="E46" s="104" t="s">
        <v>377</v>
      </c>
      <c r="F46" s="104" t="s">
        <v>376</v>
      </c>
      <c r="G46" s="143"/>
      <c r="H46"/>
    </row>
    <row r="47" spans="1:9" x14ac:dyDescent="0.25">
      <c r="A47" s="372"/>
      <c r="B47" s="372"/>
      <c r="C47" s="372"/>
      <c r="I47" s="143" t="s">
        <v>61</v>
      </c>
    </row>
    <row r="48" spans="1:9" x14ac:dyDescent="0.25">
      <c r="A48" s="237" t="s">
        <v>375</v>
      </c>
      <c r="B48" s="55" t="s">
        <v>62</v>
      </c>
      <c r="C48" s="236" t="s">
        <v>45</v>
      </c>
      <c r="D48" s="236" t="s">
        <v>46</v>
      </c>
      <c r="E48" s="236" t="s">
        <v>65</v>
      </c>
      <c r="F48" s="236" t="s">
        <v>60</v>
      </c>
      <c r="G48" t="s">
        <v>1065</v>
      </c>
      <c r="H48"/>
    </row>
    <row r="49" spans="1:8" x14ac:dyDescent="0.25">
      <c r="A49" s="243" t="s">
        <v>196</v>
      </c>
      <c r="B49" s="55" t="s">
        <v>374</v>
      </c>
      <c r="C49" s="236">
        <f>MAX(A120:A138)*C20</f>
        <v>13928</v>
      </c>
      <c r="D49" s="236" t="s">
        <v>199</v>
      </c>
      <c r="E49" s="236"/>
      <c r="F49" s="236"/>
      <c r="G49"/>
      <c r="H49" t="s">
        <v>366</v>
      </c>
    </row>
    <row r="50" spans="1:8" x14ac:dyDescent="0.25">
      <c r="A50" s="243" t="s">
        <v>373</v>
      </c>
      <c r="B50" s="58" t="s">
        <v>372</v>
      </c>
      <c r="C50" s="238">
        <f>C49/600</f>
        <v>23.213333333333335</v>
      </c>
      <c r="D50" s="236" t="s">
        <v>195</v>
      </c>
      <c r="E50" s="236" t="s">
        <v>371</v>
      </c>
      <c r="F50" s="236" t="s">
        <v>370</v>
      </c>
      <c r="G50" s="4" t="s">
        <v>159</v>
      </c>
      <c r="H50"/>
    </row>
    <row r="51" spans="1:8" x14ac:dyDescent="0.25">
      <c r="A51" s="243" t="s">
        <v>369</v>
      </c>
      <c r="B51" s="55" t="s">
        <v>368</v>
      </c>
      <c r="C51" s="236">
        <v>140</v>
      </c>
      <c r="D51" s="236" t="s">
        <v>288</v>
      </c>
      <c r="E51" s="236"/>
      <c r="F51" s="236"/>
      <c r="G51" s="4" t="s">
        <v>367</v>
      </c>
      <c r="H51"/>
    </row>
    <row r="52" spans="1:8" x14ac:dyDescent="0.25">
      <c r="A52" s="256" t="s">
        <v>365</v>
      </c>
      <c r="B52" s="58" t="s">
        <v>364</v>
      </c>
      <c r="C52" s="238">
        <f t="shared" ref="C52:C58" si="0">$C$49*$C$24*(E10-D10)/F10</f>
        <v>2135.7195200000001</v>
      </c>
      <c r="D52" s="238" t="s">
        <v>315</v>
      </c>
      <c r="E52" s="238" t="s">
        <v>359</v>
      </c>
      <c r="F52" s="238"/>
      <c r="G52" s="4"/>
      <c r="H52"/>
    </row>
    <row r="53" spans="1:8" x14ac:dyDescent="0.25">
      <c r="A53" s="243" t="s">
        <v>363</v>
      </c>
      <c r="B53" s="55" t="s">
        <v>362</v>
      </c>
      <c r="C53" s="236">
        <f t="shared" si="0"/>
        <v>194.15632000000002</v>
      </c>
      <c r="D53" s="236" t="s">
        <v>315</v>
      </c>
      <c r="E53" s="236" t="s">
        <v>359</v>
      </c>
      <c r="F53" s="236"/>
      <c r="G53" s="4"/>
      <c r="H53"/>
    </row>
    <row r="54" spans="1:8" x14ac:dyDescent="0.25">
      <c r="A54" s="280" t="s">
        <v>1079</v>
      </c>
      <c r="B54" s="55" t="s">
        <v>1083</v>
      </c>
      <c r="C54" s="279">
        <f t="shared" si="0"/>
        <v>582.46896000000004</v>
      </c>
      <c r="D54" s="279"/>
      <c r="E54" s="279"/>
      <c r="F54" s="238"/>
      <c r="G54" s="4"/>
      <c r="H54"/>
    </row>
    <row r="55" spans="1:8" x14ac:dyDescent="0.25">
      <c r="A55" s="280" t="s">
        <v>1080</v>
      </c>
      <c r="B55" s="55" t="s">
        <v>1084</v>
      </c>
      <c r="C55" s="279">
        <f t="shared" si="0"/>
        <v>161.79693333333336</v>
      </c>
      <c r="D55" s="279"/>
      <c r="E55" s="279"/>
      <c r="F55" s="238"/>
      <c r="G55" s="4"/>
      <c r="H55"/>
    </row>
    <row r="56" spans="1:8" x14ac:dyDescent="0.25">
      <c r="A56" s="280" t="s">
        <v>1081</v>
      </c>
      <c r="B56" s="55" t="s">
        <v>1085</v>
      </c>
      <c r="C56" s="279">
        <f t="shared" si="0"/>
        <v>776.62528000000009</v>
      </c>
      <c r="D56" s="279"/>
      <c r="E56" s="279"/>
      <c r="F56" s="238"/>
      <c r="G56" s="4"/>
      <c r="H56"/>
    </row>
    <row r="57" spans="1:8" x14ac:dyDescent="0.25">
      <c r="A57" s="280" t="s">
        <v>1082</v>
      </c>
      <c r="B57" s="55" t="s">
        <v>1086</v>
      </c>
      <c r="C57" s="279">
        <f t="shared" si="0"/>
        <v>388.31264000000004</v>
      </c>
      <c r="D57" s="279"/>
      <c r="E57" s="279"/>
      <c r="F57" s="238"/>
      <c r="G57" s="4"/>
      <c r="H57"/>
    </row>
    <row r="58" spans="1:8" x14ac:dyDescent="0.25">
      <c r="A58" s="243" t="s">
        <v>361</v>
      </c>
      <c r="B58" s="55" t="s">
        <v>360</v>
      </c>
      <c r="C58" s="236">
        <f t="shared" si="0"/>
        <v>420.67202666666668</v>
      </c>
      <c r="D58" s="236" t="s">
        <v>315</v>
      </c>
      <c r="E58" s="236" t="s">
        <v>359</v>
      </c>
      <c r="F58" s="236"/>
      <c r="G58" s="4"/>
      <c r="H58"/>
    </row>
    <row r="59" spans="1:8" x14ac:dyDescent="0.25">
      <c r="A59" s="243" t="s">
        <v>358</v>
      </c>
      <c r="B59" s="55" t="s">
        <v>357</v>
      </c>
      <c r="C59" s="236">
        <f t="shared" ref="C59:C65" si="1">$C$40-(C52/($C$50*$C$28))</f>
        <v>92.329533678756462</v>
      </c>
      <c r="D59" s="236" t="s">
        <v>288</v>
      </c>
      <c r="E59" s="236" t="s">
        <v>352</v>
      </c>
      <c r="F59" s="236"/>
      <c r="G59" s="4"/>
      <c r="H59"/>
    </row>
    <row r="60" spans="1:8" x14ac:dyDescent="0.25">
      <c r="A60" s="243" t="s">
        <v>356</v>
      </c>
      <c r="B60" s="55" t="s">
        <v>355</v>
      </c>
      <c r="C60" s="236">
        <f t="shared" si="1"/>
        <v>135.66632124352333</v>
      </c>
      <c r="D60" s="236" t="s">
        <v>288</v>
      </c>
      <c r="E60" s="236" t="s">
        <v>352</v>
      </c>
      <c r="F60" s="236"/>
      <c r="G60" s="4"/>
      <c r="H60"/>
    </row>
    <row r="61" spans="1:8" x14ac:dyDescent="0.25">
      <c r="A61" s="280" t="s">
        <v>1091</v>
      </c>
      <c r="B61" s="55" t="s">
        <v>1087</v>
      </c>
      <c r="C61" s="279">
        <f t="shared" si="1"/>
        <v>126.99896373056995</v>
      </c>
      <c r="D61" s="279"/>
      <c r="E61" s="279"/>
      <c r="F61" s="238"/>
      <c r="G61" s="4"/>
      <c r="H61"/>
    </row>
    <row r="62" spans="1:8" x14ac:dyDescent="0.25">
      <c r="A62" s="280" t="s">
        <v>1092</v>
      </c>
      <c r="B62" s="55" t="s">
        <v>1088</v>
      </c>
      <c r="C62" s="279">
        <f t="shared" si="1"/>
        <v>136.38860103626942</v>
      </c>
      <c r="D62" s="279"/>
      <c r="E62" s="279"/>
      <c r="F62" s="238"/>
      <c r="G62" s="4"/>
      <c r="H62"/>
    </row>
    <row r="63" spans="1:8" x14ac:dyDescent="0.25">
      <c r="A63" s="280" t="s">
        <v>1093</v>
      </c>
      <c r="B63" s="55" t="s">
        <v>1089</v>
      </c>
      <c r="C63" s="279">
        <f t="shared" si="1"/>
        <v>122.66528497409325</v>
      </c>
      <c r="D63" s="279"/>
      <c r="E63" s="279"/>
      <c r="F63" s="238"/>
      <c r="G63" s="4"/>
      <c r="H63"/>
    </row>
    <row r="64" spans="1:8" x14ac:dyDescent="0.25">
      <c r="A64" s="280" t="s">
        <v>1094</v>
      </c>
      <c r="B64" s="55" t="s">
        <v>1090</v>
      </c>
      <c r="C64" s="279">
        <f t="shared" si="1"/>
        <v>131.33264248704663</v>
      </c>
      <c r="D64" s="279"/>
      <c r="E64" s="279"/>
      <c r="F64" s="238"/>
      <c r="G64" s="4"/>
      <c r="H64"/>
    </row>
    <row r="65" spans="1:17" x14ac:dyDescent="0.25">
      <c r="A65" s="243" t="s">
        <v>354</v>
      </c>
      <c r="B65" s="55" t="s">
        <v>353</v>
      </c>
      <c r="C65" s="236">
        <f t="shared" si="1"/>
        <v>130.61036269430051</v>
      </c>
      <c r="D65" s="236" t="s">
        <v>288</v>
      </c>
      <c r="E65" s="236" t="s">
        <v>352</v>
      </c>
      <c r="F65" s="236"/>
      <c r="G65" s="4"/>
      <c r="H65"/>
    </row>
    <row r="66" spans="1:17" x14ac:dyDescent="0.25">
      <c r="A66" s="256" t="s">
        <v>317</v>
      </c>
      <c r="B66" s="263" t="s">
        <v>351</v>
      </c>
      <c r="C66" s="262">
        <f>MAX(C52:C58)</f>
        <v>2135.7195200000001</v>
      </c>
      <c r="D66" s="238" t="s">
        <v>315</v>
      </c>
      <c r="E66" s="238" t="s">
        <v>350</v>
      </c>
      <c r="F66" s="238"/>
      <c r="G66" s="4"/>
      <c r="H66"/>
    </row>
    <row r="67" spans="1:17" x14ac:dyDescent="0.25">
      <c r="A67" s="268" t="s">
        <v>75</v>
      </c>
      <c r="B67" s="267" t="s">
        <v>349</v>
      </c>
      <c r="C67" s="265">
        <v>0.5</v>
      </c>
      <c r="D67" s="265" t="s">
        <v>285</v>
      </c>
      <c r="E67" s="266"/>
      <c r="F67" s="265" t="s">
        <v>348</v>
      </c>
      <c r="G67" s="264"/>
      <c r="H67"/>
    </row>
    <row r="68" spans="1:17" x14ac:dyDescent="0.25">
      <c r="A68" s="256" t="s">
        <v>289</v>
      </c>
      <c r="B68" s="58" t="s">
        <v>347</v>
      </c>
      <c r="C68" s="238">
        <f>((C51-D10)-(C59-E10))/(LN((C51-D10)/(C59-E10)))</f>
        <v>77.817474755286312</v>
      </c>
      <c r="D68" s="236" t="s">
        <v>288</v>
      </c>
      <c r="E68" s="57" t="s">
        <v>346</v>
      </c>
      <c r="F68" s="238"/>
      <c r="G68" s="52"/>
      <c r="H68"/>
    </row>
    <row r="69" spans="1:17" x14ac:dyDescent="0.25">
      <c r="A69" s="260" t="s">
        <v>345</v>
      </c>
      <c r="B69" s="263" t="s">
        <v>344</v>
      </c>
      <c r="C69" s="262">
        <f>C66/(C67*C68)</f>
        <v>54.890486403374737</v>
      </c>
      <c r="D69" s="236" t="s">
        <v>280</v>
      </c>
      <c r="E69" s="243"/>
      <c r="F69" s="236"/>
      <c r="G69"/>
      <c r="H69"/>
    </row>
    <row r="70" spans="1:17" x14ac:dyDescent="0.25">
      <c r="A70" s="372"/>
      <c r="B70" s="372"/>
      <c r="C70" s="372"/>
      <c r="D70" s="58"/>
      <c r="E70" s="238"/>
      <c r="F70" s="238"/>
      <c r="G70" s="238"/>
      <c r="H70" s="238"/>
    </row>
    <row r="71" spans="1:17" x14ac:dyDescent="0.25">
      <c r="A71" s="372"/>
      <c r="B71" s="372"/>
      <c r="C71" s="372"/>
      <c r="I71" s="4"/>
      <c r="K71" s="24"/>
      <c r="L71" s="22"/>
      <c r="M71" s="22"/>
      <c r="N71" s="22"/>
      <c r="O71" s="22"/>
      <c r="P71" s="22"/>
      <c r="Q71" s="22"/>
    </row>
    <row r="72" spans="1:17" x14ac:dyDescent="0.25">
      <c r="A72" s="113" t="s">
        <v>343</v>
      </c>
      <c r="B72" s="261" t="s">
        <v>62</v>
      </c>
      <c r="C72" s="114" t="s">
        <v>45</v>
      </c>
      <c r="D72" s="114" t="s">
        <v>46</v>
      </c>
      <c r="E72" s="114" t="s">
        <v>65</v>
      </c>
      <c r="F72" s="114" t="s">
        <v>60</v>
      </c>
      <c r="G72" s="75" t="s">
        <v>61</v>
      </c>
      <c r="H72"/>
      <c r="I72" s="22"/>
      <c r="J72" s="22"/>
      <c r="K72" s="22"/>
      <c r="L72" s="22"/>
      <c r="M72" s="235"/>
      <c r="N72" s="22"/>
      <c r="O72" s="22"/>
    </row>
    <row r="73" spans="1:17" x14ac:dyDescent="0.25">
      <c r="A73" s="243" t="s">
        <v>342</v>
      </c>
      <c r="B73" s="55" t="s">
        <v>341</v>
      </c>
      <c r="C73" s="236">
        <f>C50/C25</f>
        <v>41.886202333694214</v>
      </c>
      <c r="D73" s="236" t="s">
        <v>240</v>
      </c>
      <c r="E73" s="236" t="s">
        <v>340</v>
      </c>
      <c r="F73" s="236"/>
      <c r="G73" s="4"/>
      <c r="H73"/>
      <c r="I73" s="22"/>
      <c r="J73" s="22"/>
      <c r="K73" s="22"/>
      <c r="L73" s="22"/>
      <c r="M73" s="235"/>
      <c r="N73" s="22"/>
      <c r="O73" s="22"/>
    </row>
    <row r="74" spans="1:17" x14ac:dyDescent="0.25">
      <c r="A74" s="256" t="s">
        <v>339</v>
      </c>
      <c r="B74" s="54" t="s">
        <v>338</v>
      </c>
      <c r="C74" s="53">
        <f>C90/C36</f>
        <v>0.14773975518645507</v>
      </c>
      <c r="D74" s="238" t="s">
        <v>195</v>
      </c>
      <c r="E74" s="238" t="s">
        <v>337</v>
      </c>
      <c r="F74" s="238"/>
      <c r="G74" s="4"/>
      <c r="H74"/>
      <c r="I74" s="22"/>
      <c r="J74" s="22"/>
      <c r="K74" s="22"/>
      <c r="L74" s="22"/>
      <c r="M74" s="22"/>
      <c r="N74" s="22"/>
      <c r="O74" s="22"/>
    </row>
    <row r="75" spans="1:17" x14ac:dyDescent="0.25">
      <c r="A75" s="243" t="s">
        <v>336</v>
      </c>
      <c r="B75" s="55" t="s">
        <v>335</v>
      </c>
      <c r="C75" s="236">
        <f t="shared" ref="C75:C81" si="2">C59*$C$42</f>
        <v>90.482943005181326</v>
      </c>
      <c r="D75" s="236" t="s">
        <v>288</v>
      </c>
      <c r="E75" s="236" t="s">
        <v>329</v>
      </c>
      <c r="F75" s="236" t="s">
        <v>334</v>
      </c>
      <c r="G75" s="4"/>
      <c r="H75"/>
      <c r="I75" s="22"/>
      <c r="J75" s="22"/>
      <c r="K75" s="22"/>
      <c r="L75" s="22"/>
      <c r="M75" s="235"/>
      <c r="N75" s="22"/>
      <c r="O75" s="22"/>
    </row>
    <row r="76" spans="1:17" x14ac:dyDescent="0.25">
      <c r="A76" s="243" t="s">
        <v>333</v>
      </c>
      <c r="B76" s="55" t="s">
        <v>332</v>
      </c>
      <c r="C76" s="236">
        <f t="shared" si="2"/>
        <v>132.95299481865285</v>
      </c>
      <c r="D76" s="236" t="s">
        <v>288</v>
      </c>
      <c r="E76" s="236" t="s">
        <v>329</v>
      </c>
      <c r="F76" s="236"/>
      <c r="G76" s="4"/>
      <c r="H76"/>
      <c r="I76" s="22"/>
      <c r="J76" s="22"/>
      <c r="K76" s="22"/>
      <c r="L76" s="22"/>
      <c r="M76" s="235"/>
      <c r="N76" s="22"/>
      <c r="O76" s="22"/>
    </row>
    <row r="77" spans="1:17" x14ac:dyDescent="0.25">
      <c r="A77" s="280" t="s">
        <v>1100</v>
      </c>
      <c r="B77" s="55" t="s">
        <v>330</v>
      </c>
      <c r="C77" s="279">
        <f t="shared" si="2"/>
        <v>124.45898445595856</v>
      </c>
      <c r="D77" s="236" t="s">
        <v>288</v>
      </c>
      <c r="E77" s="236" t="s">
        <v>329</v>
      </c>
      <c r="F77" s="236"/>
      <c r="G77" s="4"/>
      <c r="H77"/>
      <c r="I77" s="22"/>
      <c r="J77" s="22"/>
      <c r="K77" s="22"/>
      <c r="L77" s="22"/>
      <c r="M77" s="22"/>
      <c r="N77" s="22"/>
      <c r="O77" s="22"/>
    </row>
    <row r="78" spans="1:17" x14ac:dyDescent="0.25">
      <c r="A78" s="280" t="s">
        <v>328</v>
      </c>
      <c r="B78" s="55" t="s">
        <v>1096</v>
      </c>
      <c r="C78" s="279">
        <f t="shared" si="2"/>
        <v>133.66082901554404</v>
      </c>
      <c r="D78" s="279" t="s">
        <v>288</v>
      </c>
      <c r="E78" s="279" t="s">
        <v>329</v>
      </c>
      <c r="F78" s="279"/>
      <c r="G78" s="4"/>
      <c r="H78"/>
      <c r="I78" s="22"/>
      <c r="J78" s="22"/>
      <c r="K78" s="22"/>
      <c r="L78" s="22"/>
      <c r="M78" s="22"/>
      <c r="N78" s="22"/>
      <c r="O78" s="22"/>
    </row>
    <row r="79" spans="1:17" x14ac:dyDescent="0.25">
      <c r="A79" s="280" t="s">
        <v>1101</v>
      </c>
      <c r="B79" s="55" t="s">
        <v>1097</v>
      </c>
      <c r="C79" s="279">
        <f t="shared" si="2"/>
        <v>120.21197927461138</v>
      </c>
      <c r="D79" s="279" t="s">
        <v>288</v>
      </c>
      <c r="E79" s="279" t="s">
        <v>329</v>
      </c>
      <c r="F79" s="279"/>
      <c r="G79" s="4"/>
      <c r="H79"/>
      <c r="I79" s="22"/>
      <c r="J79" s="22"/>
      <c r="K79" s="22"/>
      <c r="L79" s="22"/>
      <c r="M79" s="22"/>
      <c r="N79" s="22"/>
      <c r="O79" s="22"/>
    </row>
    <row r="80" spans="1:17" x14ac:dyDescent="0.25">
      <c r="A80" s="280" t="s">
        <v>1102</v>
      </c>
      <c r="B80" s="55" t="s">
        <v>1098</v>
      </c>
      <c r="C80" s="279">
        <f t="shared" si="2"/>
        <v>128.70598963730569</v>
      </c>
      <c r="D80" s="279" t="s">
        <v>288</v>
      </c>
      <c r="E80" s="279" t="s">
        <v>329</v>
      </c>
      <c r="F80" s="279"/>
      <c r="G80" s="4"/>
      <c r="H80"/>
      <c r="I80" s="22"/>
      <c r="J80" s="22"/>
      <c r="K80" s="22"/>
      <c r="L80" s="22"/>
      <c r="M80" s="22"/>
      <c r="N80" s="22"/>
      <c r="O80" s="22"/>
    </row>
    <row r="81" spans="1:15" x14ac:dyDescent="0.25">
      <c r="A81" s="243" t="s">
        <v>331</v>
      </c>
      <c r="B81" s="55" t="s">
        <v>1099</v>
      </c>
      <c r="C81" s="236">
        <f t="shared" si="2"/>
        <v>127.99815544041449</v>
      </c>
      <c r="D81" s="279" t="s">
        <v>288</v>
      </c>
      <c r="E81" s="279" t="s">
        <v>1111</v>
      </c>
      <c r="F81" s="279"/>
      <c r="G81" s="4"/>
      <c r="H81"/>
      <c r="I81" s="22"/>
      <c r="J81" s="22"/>
      <c r="K81" s="22"/>
      <c r="L81" s="22"/>
      <c r="M81" s="22"/>
      <c r="N81" s="22"/>
      <c r="O81" s="22"/>
    </row>
    <row r="82" spans="1:15" x14ac:dyDescent="0.25">
      <c r="A82" s="243" t="s">
        <v>1095</v>
      </c>
      <c r="B82" s="55" t="s">
        <v>327</v>
      </c>
      <c r="C82" s="236">
        <f>C40/C42</f>
        <v>142.85714285714286</v>
      </c>
      <c r="D82" s="236" t="s">
        <v>288</v>
      </c>
      <c r="E82" s="236" t="s">
        <v>326</v>
      </c>
      <c r="F82" s="236" t="s">
        <v>325</v>
      </c>
      <c r="G82" s="4"/>
      <c r="H82"/>
      <c r="I82" s="22"/>
      <c r="J82" s="22"/>
      <c r="K82" s="22"/>
      <c r="L82" s="22"/>
      <c r="M82" s="235"/>
      <c r="N82" s="22"/>
      <c r="O82" s="22"/>
    </row>
    <row r="83" spans="1:15" x14ac:dyDescent="0.25">
      <c r="A83" s="260" t="s">
        <v>324</v>
      </c>
      <c r="B83" s="259" t="s">
        <v>323</v>
      </c>
      <c r="C83" s="258">
        <f t="shared" ref="C83:C89" si="3">$C$50*$C$28*($C$82-C75)</f>
        <v>2346.4549353142866</v>
      </c>
      <c r="D83" s="258" t="s">
        <v>315</v>
      </c>
      <c r="E83" s="258" t="s">
        <v>318</v>
      </c>
      <c r="F83" s="258"/>
      <c r="G83" s="4"/>
      <c r="H83"/>
      <c r="I83" s="22"/>
      <c r="J83" s="22"/>
      <c r="K83" s="22"/>
      <c r="L83" s="22"/>
      <c r="M83" s="235"/>
      <c r="N83" s="22"/>
      <c r="O83" s="22"/>
    </row>
    <row r="84" spans="1:15" x14ac:dyDescent="0.25">
      <c r="A84" s="243" t="s">
        <v>322</v>
      </c>
      <c r="B84" s="55" t="s">
        <v>321</v>
      </c>
      <c r="C84" s="238">
        <f t="shared" si="3"/>
        <v>443.72299931428569</v>
      </c>
      <c r="D84" s="258" t="s">
        <v>315</v>
      </c>
      <c r="E84" s="258" t="s">
        <v>318</v>
      </c>
      <c r="F84" s="236"/>
      <c r="G84" s="4"/>
      <c r="H84"/>
      <c r="I84" s="22"/>
      <c r="J84" s="22"/>
      <c r="K84" s="22"/>
      <c r="L84" s="22"/>
      <c r="M84" s="22"/>
      <c r="N84" s="22"/>
      <c r="O84" s="22"/>
    </row>
    <row r="85" spans="1:15" x14ac:dyDescent="0.25">
      <c r="A85" s="280" t="s">
        <v>1104</v>
      </c>
      <c r="B85" s="55" t="s">
        <v>319</v>
      </c>
      <c r="C85" s="238">
        <f t="shared" si="3"/>
        <v>824.26938651428554</v>
      </c>
      <c r="D85" s="258" t="s">
        <v>315</v>
      </c>
      <c r="E85" s="258" t="s">
        <v>318</v>
      </c>
      <c r="F85" s="258"/>
      <c r="G85" s="257"/>
      <c r="H85"/>
      <c r="I85" s="22"/>
      <c r="J85" s="8"/>
      <c r="K85" s="22"/>
      <c r="L85" s="22"/>
      <c r="M85" s="235"/>
      <c r="N85" s="22"/>
      <c r="O85" s="22"/>
    </row>
    <row r="86" spans="1:15" x14ac:dyDescent="0.25">
      <c r="A86" s="280" t="s">
        <v>1105</v>
      </c>
      <c r="B86" s="55" t="s">
        <v>1108</v>
      </c>
      <c r="C86" s="238">
        <f t="shared" si="3"/>
        <v>412.01080038095267</v>
      </c>
      <c r="D86" s="258" t="s">
        <v>315</v>
      </c>
      <c r="E86" s="258" t="s">
        <v>318</v>
      </c>
      <c r="F86" s="258"/>
      <c r="G86" s="257"/>
      <c r="H86"/>
      <c r="I86" s="22"/>
      <c r="J86" s="8"/>
      <c r="K86" s="22"/>
      <c r="L86" s="22"/>
      <c r="M86" s="278"/>
      <c r="N86" s="22"/>
      <c r="O86" s="22"/>
    </row>
    <row r="87" spans="1:15" x14ac:dyDescent="0.25">
      <c r="A87" s="280" t="s">
        <v>1106</v>
      </c>
      <c r="B87" s="55" t="s">
        <v>1109</v>
      </c>
      <c r="C87" s="238">
        <f t="shared" si="3"/>
        <v>1014.5425801142867</v>
      </c>
      <c r="D87" s="258" t="s">
        <v>315</v>
      </c>
      <c r="E87" s="258" t="s">
        <v>318</v>
      </c>
      <c r="F87" s="258"/>
      <c r="G87" s="257"/>
      <c r="H87"/>
      <c r="I87" s="22"/>
      <c r="J87" s="8"/>
      <c r="K87" s="22"/>
      <c r="L87" s="22"/>
      <c r="M87" s="278"/>
      <c r="N87" s="22"/>
      <c r="O87" s="22"/>
    </row>
    <row r="88" spans="1:15" x14ac:dyDescent="0.25">
      <c r="A88" s="280" t="s">
        <v>1107</v>
      </c>
      <c r="B88" s="55" t="s">
        <v>1110</v>
      </c>
      <c r="C88" s="238">
        <f t="shared" si="3"/>
        <v>633.99619291428621</v>
      </c>
      <c r="D88" s="258" t="s">
        <v>315</v>
      </c>
      <c r="E88" s="258" t="s">
        <v>318</v>
      </c>
      <c r="F88" s="258"/>
      <c r="G88" s="257"/>
      <c r="H88"/>
      <c r="I88" s="22"/>
      <c r="J88" s="8"/>
      <c r="K88" s="22"/>
      <c r="L88" s="22"/>
      <c r="M88" s="278"/>
      <c r="N88" s="22"/>
      <c r="O88" s="22"/>
    </row>
    <row r="89" spans="1:15" x14ac:dyDescent="0.25">
      <c r="A89" s="243" t="s">
        <v>320</v>
      </c>
      <c r="B89" s="55" t="s">
        <v>1103</v>
      </c>
      <c r="C89" s="258">
        <f t="shared" si="3"/>
        <v>665.70839184761985</v>
      </c>
      <c r="D89" s="258" t="s">
        <v>315</v>
      </c>
      <c r="E89" s="258" t="s">
        <v>318</v>
      </c>
      <c r="F89" s="258"/>
      <c r="G89" s="257"/>
      <c r="H89"/>
      <c r="I89" s="22"/>
      <c r="J89" s="8"/>
      <c r="K89" s="22"/>
      <c r="L89" s="22"/>
      <c r="M89" s="278"/>
      <c r="N89" s="22"/>
      <c r="O89" s="22"/>
    </row>
    <row r="90" spans="1:15" x14ac:dyDescent="0.25">
      <c r="A90" s="243" t="s">
        <v>317</v>
      </c>
      <c r="B90" s="59" t="s">
        <v>316</v>
      </c>
      <c r="C90" s="40">
        <f>MAX(C83:C89)</f>
        <v>2346.4549353142866</v>
      </c>
      <c r="D90" s="236" t="s">
        <v>315</v>
      </c>
      <c r="E90" s="236" t="s">
        <v>314</v>
      </c>
      <c r="F90" s="236" t="s">
        <v>313</v>
      </c>
      <c r="G90" s="4"/>
      <c r="H90"/>
      <c r="I90" s="22"/>
      <c r="J90" s="8"/>
      <c r="K90" s="22"/>
      <c r="L90" s="22"/>
      <c r="M90" s="22"/>
      <c r="N90" s="22"/>
      <c r="O90" s="22"/>
    </row>
    <row r="91" spans="1:15" x14ac:dyDescent="0.25">
      <c r="A91" s="256" t="s">
        <v>312</v>
      </c>
      <c r="B91" s="58" t="s">
        <v>311</v>
      </c>
      <c r="C91" s="238">
        <v>0.7</v>
      </c>
      <c r="D91" s="238" t="s">
        <v>280</v>
      </c>
      <c r="E91" s="238"/>
      <c r="F91" s="238" t="s">
        <v>310</v>
      </c>
      <c r="G91" s="4" t="s">
        <v>309</v>
      </c>
      <c r="H91"/>
      <c r="I91" s="22"/>
      <c r="J91" s="22"/>
      <c r="K91" s="22"/>
      <c r="L91" s="22"/>
      <c r="M91" s="22"/>
      <c r="N91" s="22"/>
      <c r="O91" s="22"/>
    </row>
    <row r="92" spans="1:15" x14ac:dyDescent="0.25">
      <c r="A92" s="243" t="s">
        <v>308</v>
      </c>
      <c r="B92" s="55" t="s">
        <v>307</v>
      </c>
      <c r="C92" s="236">
        <f>SQRT(C91/PI())</f>
        <v>0.47203487194131483</v>
      </c>
      <c r="D92" s="236" t="s">
        <v>40</v>
      </c>
      <c r="E92" s="236" t="s">
        <v>306</v>
      </c>
      <c r="F92" s="236"/>
      <c r="G92" s="4"/>
      <c r="H92"/>
      <c r="I92" s="22"/>
      <c r="J92" s="22"/>
      <c r="K92" s="22"/>
      <c r="L92" s="22"/>
      <c r="M92" s="22"/>
      <c r="N92" s="22"/>
      <c r="O92" s="22"/>
    </row>
    <row r="93" spans="1:15" x14ac:dyDescent="0.25">
      <c r="A93" s="243" t="s">
        <v>305</v>
      </c>
      <c r="B93" s="55" t="s">
        <v>304</v>
      </c>
      <c r="C93" s="236">
        <f>2*C92</f>
        <v>0.94406974388262965</v>
      </c>
      <c r="D93" s="236" t="s">
        <v>40</v>
      </c>
      <c r="E93" s="236" t="s">
        <v>303</v>
      </c>
      <c r="F93" s="236"/>
      <c r="G93" s="4"/>
      <c r="H93"/>
      <c r="I93" s="22"/>
      <c r="J93" s="22"/>
      <c r="K93" s="22"/>
      <c r="L93" s="22"/>
      <c r="M93" s="22"/>
      <c r="N93" s="22"/>
      <c r="O93" s="22"/>
    </row>
    <row r="94" spans="1:15" x14ac:dyDescent="0.25">
      <c r="A94" s="243" t="s">
        <v>302</v>
      </c>
      <c r="B94" s="55" t="s">
        <v>301</v>
      </c>
      <c r="C94" s="236">
        <f>C73/C91</f>
        <v>59.837431905277455</v>
      </c>
      <c r="D94" s="236" t="s">
        <v>97</v>
      </c>
      <c r="E94" s="236" t="s">
        <v>300</v>
      </c>
      <c r="F94" s="236"/>
      <c r="G94" s="4"/>
      <c r="H94"/>
      <c r="I94" s="24"/>
      <c r="J94" s="22"/>
      <c r="K94" s="22"/>
      <c r="L94" s="22"/>
      <c r="M94" s="22"/>
      <c r="N94" s="22"/>
      <c r="O94" s="22"/>
    </row>
    <row r="95" spans="1:15" x14ac:dyDescent="0.25">
      <c r="A95" s="243" t="s">
        <v>299</v>
      </c>
      <c r="B95" s="55" t="s">
        <v>298</v>
      </c>
      <c r="C95" s="236">
        <f>C46</f>
        <v>961.21653999519776</v>
      </c>
      <c r="D95" s="236" t="s">
        <v>97</v>
      </c>
      <c r="E95" s="236" t="s">
        <v>297</v>
      </c>
      <c r="F95" s="236"/>
      <c r="G95" s="4"/>
      <c r="H95"/>
      <c r="I95" s="22"/>
      <c r="J95" s="22"/>
      <c r="K95" s="22"/>
      <c r="L95" s="22"/>
      <c r="M95" s="22"/>
      <c r="N95" s="22"/>
      <c r="O95" s="22"/>
    </row>
    <row r="96" spans="1:15" x14ac:dyDescent="0.25">
      <c r="A96" s="243" t="s">
        <v>296</v>
      </c>
      <c r="B96" s="243" t="s">
        <v>295</v>
      </c>
      <c r="C96" s="236">
        <f>C106*C27/C93</f>
        <v>0.10107473586386133</v>
      </c>
      <c r="D96" s="236" t="s">
        <v>291</v>
      </c>
      <c r="E96" s="236" t="s">
        <v>294</v>
      </c>
      <c r="F96" s="236"/>
      <c r="G96" s="4"/>
      <c r="H96"/>
      <c r="I96" s="22"/>
      <c r="J96" s="22"/>
      <c r="K96" s="22"/>
      <c r="L96" s="22"/>
      <c r="M96" s="22"/>
      <c r="N96" s="22"/>
      <c r="O96" s="22"/>
    </row>
    <row r="97" spans="1:17" x14ac:dyDescent="0.25">
      <c r="A97" s="243" t="s">
        <v>293</v>
      </c>
      <c r="B97" s="243" t="s">
        <v>292</v>
      </c>
      <c r="C97" s="236">
        <f>C109*C31/C93</f>
        <v>47.158042201173522</v>
      </c>
      <c r="D97" s="236" t="s">
        <v>291</v>
      </c>
      <c r="E97" s="236" t="s">
        <v>290</v>
      </c>
      <c r="F97" s="236"/>
      <c r="G97" s="4"/>
      <c r="H97"/>
      <c r="I97" s="22"/>
      <c r="J97" s="22"/>
      <c r="K97" s="22"/>
      <c r="L97" s="22"/>
      <c r="M97" s="22"/>
      <c r="N97" s="22"/>
      <c r="O97" s="22"/>
    </row>
    <row r="98" spans="1:17" x14ac:dyDescent="0.25">
      <c r="A98" s="243" t="s">
        <v>289</v>
      </c>
      <c r="B98" s="57" t="s">
        <v>85</v>
      </c>
      <c r="C98" s="236">
        <f>((C45-C75)-(C45-C82))/(LN((C45-C75)/(C45-C82)))</f>
        <v>682.99530518156098</v>
      </c>
      <c r="D98" s="236" t="s">
        <v>288</v>
      </c>
      <c r="E98" s="56" t="s">
        <v>287</v>
      </c>
      <c r="F98" s="236"/>
      <c r="G98" s="4"/>
      <c r="H98"/>
      <c r="I98" s="22"/>
      <c r="J98" s="22"/>
      <c r="K98" s="22"/>
      <c r="L98" s="22"/>
      <c r="M98" s="22"/>
      <c r="N98" s="22"/>
      <c r="O98" s="22"/>
    </row>
    <row r="99" spans="1:17" x14ac:dyDescent="0.25">
      <c r="A99" s="243" t="s">
        <v>75</v>
      </c>
      <c r="B99" s="55" t="s">
        <v>286</v>
      </c>
      <c r="C99" s="236">
        <f>((1/C96)+(1/C97))^-1</f>
        <v>0.10085856377068489</v>
      </c>
      <c r="D99" s="232" t="s">
        <v>285</v>
      </c>
      <c r="E99" s="236" t="s">
        <v>284</v>
      </c>
      <c r="F99" s="236" t="s">
        <v>283</v>
      </c>
      <c r="G99" s="52"/>
      <c r="H99"/>
      <c r="I99" s="22"/>
      <c r="J99" s="22"/>
      <c r="K99" s="22"/>
      <c r="L99" s="22"/>
      <c r="M99" s="22"/>
      <c r="N99" s="22"/>
      <c r="O99" s="22"/>
    </row>
    <row r="100" spans="1:17" x14ac:dyDescent="0.25">
      <c r="A100" s="243" t="s">
        <v>282</v>
      </c>
      <c r="B100" s="55" t="s">
        <v>281</v>
      </c>
      <c r="C100" s="236">
        <f>C90/((C99*(C45-C82)))</f>
        <v>35.402965889817757</v>
      </c>
      <c r="D100" s="236" t="s">
        <v>280</v>
      </c>
      <c r="E100" s="236" t="s">
        <v>279</v>
      </c>
      <c r="F100" s="236"/>
      <c r="G100"/>
      <c r="H100"/>
      <c r="I100" s="22"/>
      <c r="J100" s="22"/>
      <c r="K100" s="22"/>
      <c r="L100" s="22"/>
      <c r="M100" s="22"/>
      <c r="N100" s="22"/>
      <c r="O100" s="22"/>
    </row>
    <row r="101" spans="1:17" x14ac:dyDescent="0.25">
      <c r="A101" s="256" t="s">
        <v>278</v>
      </c>
      <c r="B101" s="54" t="s">
        <v>277</v>
      </c>
      <c r="C101" s="53">
        <f>C100/(2*PI()*C92)</f>
        <v>11.936738907244901</v>
      </c>
      <c r="D101" s="238" t="s">
        <v>40</v>
      </c>
      <c r="E101" s="238" t="s">
        <v>276</v>
      </c>
      <c r="F101" s="238"/>
      <c r="G101"/>
      <c r="H101"/>
      <c r="I101" s="22"/>
      <c r="J101" s="22"/>
      <c r="K101" s="22"/>
      <c r="L101" s="22"/>
      <c r="M101" s="22"/>
      <c r="N101" s="22"/>
      <c r="O101" s="22"/>
    </row>
    <row r="102" spans="1:17" x14ac:dyDescent="0.25">
      <c r="A102" s="372"/>
      <c r="B102" s="372"/>
      <c r="C102" s="372"/>
      <c r="I102" s="4"/>
      <c r="K102" s="22"/>
      <c r="L102" s="22"/>
      <c r="M102" s="22"/>
      <c r="N102" s="22"/>
      <c r="O102" s="22"/>
      <c r="P102" s="22"/>
      <c r="Q102" s="22"/>
    </row>
    <row r="103" spans="1:17" x14ac:dyDescent="0.25">
      <c r="A103" s="113" t="s">
        <v>54</v>
      </c>
      <c r="B103" s="42" t="s">
        <v>62</v>
      </c>
      <c r="C103" s="114" t="s">
        <v>45</v>
      </c>
      <c r="D103" s="114" t="s">
        <v>46</v>
      </c>
      <c r="E103" s="114" t="s">
        <v>65</v>
      </c>
      <c r="F103" s="114" t="s">
        <v>60</v>
      </c>
      <c r="G103" s="75" t="s">
        <v>61</v>
      </c>
      <c r="H103"/>
      <c r="I103" s="22"/>
      <c r="J103" s="22"/>
      <c r="K103" s="22"/>
      <c r="L103" s="22"/>
      <c r="M103" s="22"/>
      <c r="N103" s="22"/>
      <c r="O103" s="22"/>
    </row>
    <row r="104" spans="1:17" x14ac:dyDescent="0.25">
      <c r="A104" s="243" t="s">
        <v>275</v>
      </c>
      <c r="B104" s="243" t="s">
        <v>274</v>
      </c>
      <c r="C104" s="236">
        <f>C94*C93*C25/C26</f>
        <v>2.3294011112523507</v>
      </c>
      <c r="D104" s="236" t="s">
        <v>198</v>
      </c>
      <c r="E104" s="236" t="s">
        <v>100</v>
      </c>
      <c r="F104" s="236"/>
      <c r="G104" s="4"/>
      <c r="H104"/>
      <c r="I104" s="22"/>
      <c r="J104" s="22"/>
      <c r="K104" s="22"/>
      <c r="L104" s="22"/>
      <c r="M104" s="22"/>
      <c r="N104" s="22"/>
      <c r="O104" s="22"/>
    </row>
    <row r="105" spans="1:17" x14ac:dyDescent="0.25">
      <c r="A105" s="243" t="s">
        <v>273</v>
      </c>
      <c r="B105" s="243" t="s">
        <v>272</v>
      </c>
      <c r="C105" s="236">
        <f>C28*C26/C27</f>
        <v>993.83908045977</v>
      </c>
      <c r="D105" s="236" t="s">
        <v>198</v>
      </c>
      <c r="E105" s="236" t="s">
        <v>71</v>
      </c>
      <c r="F105" s="236"/>
      <c r="G105" s="4"/>
      <c r="H105"/>
      <c r="I105" s="22"/>
      <c r="J105" s="22"/>
      <c r="K105" s="22"/>
      <c r="L105" s="22"/>
      <c r="M105" s="22"/>
      <c r="N105" s="22"/>
      <c r="O105" s="22"/>
    </row>
    <row r="106" spans="1:17" ht="30" x14ac:dyDescent="0.25">
      <c r="A106" s="243" t="s">
        <v>271</v>
      </c>
      <c r="B106" s="243" t="s">
        <v>270</v>
      </c>
      <c r="C106" s="236">
        <v>3.6560000000000001</v>
      </c>
      <c r="D106" s="236" t="s">
        <v>198</v>
      </c>
      <c r="E106" s="51" t="s">
        <v>1066</v>
      </c>
      <c r="F106" s="236" t="s">
        <v>269</v>
      </c>
      <c r="G106" s="4" t="s">
        <v>613</v>
      </c>
      <c r="H106"/>
      <c r="I106" s="22"/>
      <c r="J106" s="22"/>
      <c r="K106" s="22"/>
      <c r="L106" s="22"/>
      <c r="M106" s="22"/>
      <c r="N106" s="22"/>
      <c r="O106" s="22"/>
    </row>
    <row r="107" spans="1:17" x14ac:dyDescent="0.25">
      <c r="A107" s="243" t="s">
        <v>268</v>
      </c>
      <c r="B107" s="243" t="s">
        <v>267</v>
      </c>
      <c r="C107" s="236">
        <f>C95*C93*C29/C30</f>
        <v>6376084.5635289</v>
      </c>
      <c r="D107" s="236" t="s">
        <v>198</v>
      </c>
      <c r="E107" s="236" t="s">
        <v>100</v>
      </c>
      <c r="F107" s="236"/>
      <c r="G107" s="4"/>
      <c r="H107"/>
    </row>
    <row r="108" spans="1:17" x14ac:dyDescent="0.25">
      <c r="A108" s="243" t="s">
        <v>266</v>
      </c>
      <c r="B108" s="243" t="s">
        <v>265</v>
      </c>
      <c r="C108" s="236">
        <f>C32*C30/C31</f>
        <v>7.5203515754560532E-4</v>
      </c>
      <c r="D108" s="236" t="s">
        <v>198</v>
      </c>
      <c r="E108" s="236" t="s">
        <v>71</v>
      </c>
      <c r="F108" s="236"/>
      <c r="G108" s="4"/>
      <c r="H108"/>
    </row>
    <row r="109" spans="1:17" x14ac:dyDescent="0.25">
      <c r="A109" s="243" t="s">
        <v>264</v>
      </c>
      <c r="B109" s="243" t="s">
        <v>263</v>
      </c>
      <c r="C109" s="236">
        <f>0.023*(C107^0.8)*(C108^0.3)</f>
        <v>738.31643155668542</v>
      </c>
      <c r="D109" s="236" t="s">
        <v>198</v>
      </c>
      <c r="E109" s="7" t="s">
        <v>262</v>
      </c>
      <c r="F109" s="7" t="s">
        <v>261</v>
      </c>
      <c r="G109" s="4" t="s">
        <v>613</v>
      </c>
      <c r="H109"/>
    </row>
    <row r="110" spans="1:17" x14ac:dyDescent="0.25">
      <c r="A110" s="243" t="s">
        <v>260</v>
      </c>
      <c r="B110" s="243" t="s">
        <v>259</v>
      </c>
      <c r="C110" s="236"/>
      <c r="D110" s="236" t="s">
        <v>198</v>
      </c>
      <c r="E110" s="236" t="s">
        <v>100</v>
      </c>
      <c r="F110" s="236"/>
      <c r="G110" s="4"/>
      <c r="H110"/>
    </row>
    <row r="111" spans="1:17" x14ac:dyDescent="0.25">
      <c r="A111" s="243" t="s">
        <v>258</v>
      </c>
      <c r="B111" s="243" t="s">
        <v>257</v>
      </c>
      <c r="C111" s="236"/>
      <c r="D111" s="236" t="s">
        <v>198</v>
      </c>
      <c r="E111" s="236" t="s">
        <v>71</v>
      </c>
      <c r="F111" s="236"/>
      <c r="G111" s="4"/>
      <c r="H111"/>
    </row>
    <row r="112" spans="1:17" x14ac:dyDescent="0.25">
      <c r="A112" s="243" t="s">
        <v>256</v>
      </c>
      <c r="B112" s="243" t="s">
        <v>255</v>
      </c>
      <c r="C112" s="236"/>
      <c r="D112" s="236" t="s">
        <v>198</v>
      </c>
      <c r="E112" s="236"/>
      <c r="F112" s="236"/>
      <c r="G112" s="4"/>
      <c r="H112"/>
    </row>
    <row r="113" spans="1:18" x14ac:dyDescent="0.25">
      <c r="A113" s="243" t="s">
        <v>55</v>
      </c>
      <c r="B113" s="50" t="s">
        <v>67</v>
      </c>
      <c r="C113" s="236"/>
      <c r="D113" s="236" t="s">
        <v>198</v>
      </c>
      <c r="E113" s="236" t="s">
        <v>100</v>
      </c>
      <c r="F113" s="236"/>
      <c r="G113" s="4"/>
      <c r="H113"/>
    </row>
    <row r="114" spans="1:18" x14ac:dyDescent="0.25">
      <c r="A114" s="243" t="s">
        <v>254</v>
      </c>
      <c r="B114" s="50" t="s">
        <v>68</v>
      </c>
      <c r="C114" s="236"/>
      <c r="D114" s="236" t="s">
        <v>198</v>
      </c>
      <c r="E114" s="236"/>
      <c r="F114" s="236"/>
      <c r="G114"/>
      <c r="H114"/>
    </row>
    <row r="115" spans="1:18" x14ac:dyDescent="0.25">
      <c r="A115" s="243" t="s">
        <v>253</v>
      </c>
      <c r="B115" s="243" t="s">
        <v>252</v>
      </c>
      <c r="C115" s="236"/>
      <c r="D115" s="236" t="s">
        <v>198</v>
      </c>
      <c r="E115" s="236"/>
      <c r="F115" s="236"/>
      <c r="G115"/>
      <c r="H115" s="375" t="s">
        <v>496</v>
      </c>
      <c r="I115" s="376"/>
      <c r="J115" s="376"/>
      <c r="K115" s="376"/>
      <c r="L115" s="376"/>
      <c r="M115" s="376"/>
      <c r="N115" s="376"/>
      <c r="O115" s="376"/>
      <c r="P115" s="377"/>
    </row>
    <row r="116" spans="1:18" x14ac:dyDescent="0.25">
      <c r="I116" s="47"/>
      <c r="J116" s="373" t="s">
        <v>211</v>
      </c>
      <c r="K116" s="373"/>
      <c r="L116" s="373"/>
      <c r="M116" s="374" t="s">
        <v>210</v>
      </c>
      <c r="N116" s="374"/>
      <c r="O116" s="374"/>
      <c r="P116" s="374"/>
      <c r="Q116" s="374"/>
      <c r="R116" s="4" t="s">
        <v>495</v>
      </c>
    </row>
    <row r="117" spans="1:18" x14ac:dyDescent="0.25">
      <c r="I117" s="45"/>
      <c r="J117" s="244" t="s">
        <v>193</v>
      </c>
      <c r="K117" s="372" t="s">
        <v>494</v>
      </c>
      <c r="L117" s="372"/>
      <c r="M117" s="104" t="s">
        <v>231</v>
      </c>
      <c r="N117" s="104" t="s">
        <v>230</v>
      </c>
      <c r="O117" s="104" t="s">
        <v>193</v>
      </c>
      <c r="P117" s="372" t="s">
        <v>494</v>
      </c>
      <c r="Q117" s="372"/>
      <c r="R117" s="4"/>
    </row>
    <row r="118" spans="1:18" x14ac:dyDescent="0.25">
      <c r="A118" s="4" t="s">
        <v>247</v>
      </c>
      <c r="B118" s="4" t="s">
        <v>251</v>
      </c>
      <c r="C118" s="4" t="s">
        <v>196</v>
      </c>
      <c r="D118" s="279" t="s">
        <v>250</v>
      </c>
      <c r="E118" s="235"/>
      <c r="F118" s="42" t="s">
        <v>249</v>
      </c>
      <c r="G118" s="43" t="s">
        <v>248</v>
      </c>
      <c r="H118" s="278"/>
      <c r="I118" s="261"/>
      <c r="K118" s="4" t="s">
        <v>232</v>
      </c>
      <c r="L118" s="4" t="s">
        <v>234</v>
      </c>
      <c r="M118" s="114"/>
      <c r="N118" s="114"/>
      <c r="O118" s="114"/>
      <c r="P118" s="4" t="s">
        <v>232</v>
      </c>
      <c r="Q118" s="4" t="s">
        <v>234</v>
      </c>
      <c r="R118" s="4"/>
    </row>
    <row r="119" spans="1:18" x14ac:dyDescent="0.25">
      <c r="A119" s="4"/>
      <c r="B119" s="239">
        <v>1</v>
      </c>
      <c r="C119" s="239">
        <f t="shared" ref="C119:C125" si="4">$A$120*$C$19</f>
        <v>11700</v>
      </c>
      <c r="D119" s="239">
        <f t="shared" ref="D119:D125" si="5">(($C$119/600)*$C$28*(-1)*(((($C$119*$C$24*(E10-D10)/F10)/(($C$119/600)*$C$28))-$C$40)*$C$42*(-1)-($C$40/$C$42)))/$C$36</f>
        <v>0.12410648590476192</v>
      </c>
      <c r="E119" s="235"/>
      <c r="F119" s="277">
        <f>F10</f>
        <v>900</v>
      </c>
      <c r="G119" s="234">
        <f t="shared" ref="G119:G124" si="6">F119*D119</f>
        <v>111.69583731428573</v>
      </c>
      <c r="I119" s="4" t="s">
        <v>493</v>
      </c>
      <c r="J119" s="76">
        <f>SUM(G119:G125)</f>
        <v>376.46838542857165</v>
      </c>
      <c r="K119" s="4">
        <f>0.21*$C$152*(SUM(F119:F125))</f>
        <v>639631.96395380085</v>
      </c>
      <c r="L119" s="4">
        <f>0.79*$C$152*SUM(F119:F125)</f>
        <v>2406234.5310642989</v>
      </c>
      <c r="M119" s="4">
        <f>(J119/$C$165)*$C$167</f>
        <v>690.19203995238126</v>
      </c>
      <c r="N119" s="4">
        <f>(J119/$C$165)*$C$168*0.72</f>
        <v>203.29292813142865</v>
      </c>
      <c r="O119" s="4">
        <v>0</v>
      </c>
      <c r="P119" s="4">
        <f>((K119/$C$166)-(J119/$C$165)*1.03)*$C$166</f>
        <v>639114.94737114559</v>
      </c>
      <c r="Q119" s="4">
        <f>L119</f>
        <v>2406234.5310642989</v>
      </c>
      <c r="R119" s="4">
        <f>SUM(J119:L119)-SUM(M119:Q119)</f>
        <v>0</v>
      </c>
    </row>
    <row r="120" spans="1:18" x14ac:dyDescent="0.25">
      <c r="A120" s="4">
        <f>'Reactor Batch 1'!C126</f>
        <v>10599.2</v>
      </c>
      <c r="B120" s="239">
        <v>2</v>
      </c>
      <c r="C120" s="239">
        <f t="shared" si="4"/>
        <v>11700</v>
      </c>
      <c r="D120" s="239">
        <f t="shared" si="5"/>
        <v>2.3468979238095232E-2</v>
      </c>
      <c r="E120" s="235"/>
      <c r="F120" s="277">
        <f t="shared" ref="F120:F125" si="7">F11</f>
        <v>1200</v>
      </c>
      <c r="G120" s="235">
        <f t="shared" si="6"/>
        <v>28.16277508571428</v>
      </c>
      <c r="I120" s="75" t="s">
        <v>492</v>
      </c>
      <c r="J120" s="4">
        <f>SUM(G128:G134)</f>
        <v>448.1582625853971</v>
      </c>
      <c r="K120" s="4">
        <f>0.21*$C$152*(SUM(F128:F134))</f>
        <v>639631.96395380085</v>
      </c>
      <c r="L120" s="4">
        <f>0.79*$C$152*SUM(F120:F128)</f>
        <v>2406234.5310642989</v>
      </c>
      <c r="M120" s="4">
        <f>(J120/$C$165)*$C$167</f>
        <v>821.62348140656127</v>
      </c>
      <c r="N120" s="4">
        <f>(J120/$C$165)*$C$168*0.72</f>
        <v>242.00546179611439</v>
      </c>
      <c r="O120" s="4"/>
      <c r="P120" s="4">
        <f>((K120/$C$166)-(J120/$C$165)*1.03)*$C$166</f>
        <v>639016.49327318347</v>
      </c>
      <c r="Q120" s="4">
        <f>L120</f>
        <v>2406234.5310642989</v>
      </c>
      <c r="R120" s="4">
        <f>SUM(J120:L120)-SUM(M120:Q120)</f>
        <v>0</v>
      </c>
    </row>
    <row r="121" spans="1:18" x14ac:dyDescent="0.25">
      <c r="A121" s="4"/>
      <c r="B121" s="239">
        <v>3</v>
      </c>
      <c r="C121" s="239">
        <f t="shared" si="4"/>
        <v>11700</v>
      </c>
      <c r="D121" s="239">
        <f t="shared" si="5"/>
        <v>4.3596480571428592E-2</v>
      </c>
      <c r="E121" s="278"/>
      <c r="F121" s="277">
        <f t="shared" si="7"/>
        <v>600</v>
      </c>
      <c r="G121" s="278">
        <f t="shared" si="6"/>
        <v>26.157888342857156</v>
      </c>
      <c r="H121" s="276"/>
      <c r="I121" s="4" t="s">
        <v>491</v>
      </c>
      <c r="J121" s="4">
        <f>SUM(G137:G143)</f>
        <v>331.4208863174606</v>
      </c>
      <c r="K121" s="4">
        <f>0.21*$C$152*(SUM(F137:F143))</f>
        <v>639631.96395380085</v>
      </c>
      <c r="L121" s="4">
        <f>0.79*$C$152*SUM(F125:F129)</f>
        <v>1534176.3788664993</v>
      </c>
      <c r="M121" s="4">
        <f>(J121/$C$165)*$C$167</f>
        <v>607.60495824867769</v>
      </c>
      <c r="N121" s="4">
        <f>(J121/$C$165)*$C$168*0.72</f>
        <v>178.9672786114287</v>
      </c>
      <c r="O121" s="4"/>
      <c r="P121" s="4">
        <f>((K121/$C$166)-(J121/$C$165)*1.03)*$C$166</f>
        <v>639176.81260325818</v>
      </c>
      <c r="Q121" s="4">
        <f>L121</f>
        <v>1534176.3788664993</v>
      </c>
      <c r="R121" s="4">
        <f>SUM(J121:L121)-SUM(M121:Q121)</f>
        <v>0</v>
      </c>
    </row>
    <row r="122" spans="1:18" x14ac:dyDescent="0.25">
      <c r="A122" s="4"/>
      <c r="B122" s="239">
        <v>4</v>
      </c>
      <c r="C122" s="239">
        <f t="shared" si="4"/>
        <v>11700</v>
      </c>
      <c r="D122" s="239">
        <f t="shared" si="5"/>
        <v>2.1791687460317472E-2</v>
      </c>
      <c r="E122" s="278"/>
      <c r="F122" s="277">
        <f t="shared" si="7"/>
        <v>1440</v>
      </c>
      <c r="G122" s="278">
        <f t="shared" si="6"/>
        <v>31.38002994285716</v>
      </c>
      <c r="H122" s="276"/>
      <c r="I122" s="4" t="s">
        <v>246</v>
      </c>
      <c r="J122" s="4">
        <f>G144</f>
        <v>1156.047534331429</v>
      </c>
      <c r="K122" s="4">
        <f>0.21*$C$152*(SUM(F119:F143))</f>
        <v>1918895.8918614024</v>
      </c>
      <c r="L122" s="4">
        <f>0.79*$C$152*SUM(F119:F143)</f>
        <v>7218703.5931928968</v>
      </c>
      <c r="M122" s="4">
        <f>(J122/$C$165)*$C$167</f>
        <v>2119.4204796076197</v>
      </c>
      <c r="N122" s="4">
        <f>(J122/$C$165)*$C$168*0.72</f>
        <v>624.26566853897157</v>
      </c>
      <c r="O122" s="4"/>
      <c r="P122" s="4">
        <f>((K122/$C$166)-(J122/$C$165)*1.03)*$C$166</f>
        <v>1917308.2532475872</v>
      </c>
      <c r="Q122" s="4">
        <f>L122</f>
        <v>7218703.5931928968</v>
      </c>
      <c r="R122" s="4">
        <f>SUM(J122:L122)-SUM(M122:Q122)</f>
        <v>0</v>
      </c>
    </row>
    <row r="123" spans="1:18" x14ac:dyDescent="0.25">
      <c r="A123" s="4"/>
      <c r="B123" s="239">
        <v>5</v>
      </c>
      <c r="C123" s="239">
        <f t="shared" si="4"/>
        <v>11700</v>
      </c>
      <c r="D123" s="239">
        <f t="shared" si="5"/>
        <v>5.3660231238095289E-2</v>
      </c>
      <c r="E123" s="278"/>
      <c r="F123" s="277">
        <f t="shared" si="7"/>
        <v>600</v>
      </c>
      <c r="G123" s="278">
        <f t="shared" si="6"/>
        <v>32.196138742857173</v>
      </c>
      <c r="H123" s="276"/>
      <c r="I123" s="22"/>
      <c r="J123" s="22"/>
      <c r="K123" s="22"/>
      <c r="L123" s="22"/>
      <c r="M123" s="22"/>
      <c r="N123" s="22"/>
      <c r="O123" s="22"/>
      <c r="P123" s="22"/>
      <c r="Q123" s="22"/>
      <c r="R123" s="22"/>
    </row>
    <row r="124" spans="1:18" x14ac:dyDescent="0.25">
      <c r="A124" s="4"/>
      <c r="B124" s="239">
        <v>6</v>
      </c>
      <c r="C124" s="239">
        <f t="shared" si="4"/>
        <v>11700</v>
      </c>
      <c r="D124" s="239">
        <f t="shared" si="5"/>
        <v>3.3532729904761929E-2</v>
      </c>
      <c r="E124" s="278"/>
      <c r="F124" s="277">
        <f t="shared" si="7"/>
        <v>600</v>
      </c>
      <c r="G124" s="278">
        <f t="shared" si="6"/>
        <v>20.119637942857157</v>
      </c>
      <c r="H124" s="276"/>
      <c r="I124" s="22"/>
      <c r="J124" s="22"/>
      <c r="K124" s="22"/>
      <c r="L124" s="22"/>
      <c r="M124" s="22"/>
      <c r="N124" s="22"/>
      <c r="O124" s="22"/>
      <c r="P124" s="22"/>
      <c r="Q124" s="22"/>
      <c r="R124" s="22"/>
    </row>
    <row r="125" spans="1:18" x14ac:dyDescent="0.25">
      <c r="A125" s="4"/>
      <c r="B125" s="239" t="s">
        <v>1112</v>
      </c>
      <c r="C125" s="239">
        <f t="shared" si="4"/>
        <v>11700</v>
      </c>
      <c r="D125" s="239">
        <f t="shared" si="5"/>
        <v>3.521002168253972E-2</v>
      </c>
      <c r="E125" s="235"/>
      <c r="F125" s="277">
        <f t="shared" si="7"/>
        <v>3600</v>
      </c>
      <c r="G125" s="233">
        <f t="shared" ref="G125:G143" si="8">F125*D125</f>
        <v>126.75607805714299</v>
      </c>
    </row>
    <row r="126" spans="1:18" x14ac:dyDescent="0.25">
      <c r="A126" s="4"/>
      <c r="B126" s="239"/>
      <c r="C126" s="239"/>
      <c r="D126" s="239"/>
      <c r="E126" s="278"/>
      <c r="F126" s="48"/>
      <c r="G126" s="278"/>
      <c r="H126" s="276"/>
    </row>
    <row r="127" spans="1:18" x14ac:dyDescent="0.25">
      <c r="A127" s="4" t="s">
        <v>1113</v>
      </c>
      <c r="B127" s="239" t="s">
        <v>251</v>
      </c>
      <c r="C127" s="239" t="s">
        <v>1114</v>
      </c>
      <c r="D127" s="239" t="s">
        <v>250</v>
      </c>
      <c r="E127" s="278"/>
      <c r="F127" s="277" t="s">
        <v>1116</v>
      </c>
      <c r="G127" s="278" t="s">
        <v>248</v>
      </c>
      <c r="H127" s="276"/>
    </row>
    <row r="128" spans="1:18" x14ac:dyDescent="0.25">
      <c r="A128" s="4"/>
      <c r="B128" s="239">
        <v>1</v>
      </c>
      <c r="C128" s="282">
        <f t="shared" ref="C128:C134" si="9">$A$129*$C$20</f>
        <v>13928</v>
      </c>
      <c r="D128" s="282">
        <f t="shared" ref="D128:D134" si="10">(($C$128/600)*$C$28*(-1)*(((($C$128*$C$24*(E10-D10)/F10)/(($C$128/600)*$C$28))-$C$40)*$C$42*(-1)-($C$40/$C$42)))/$C$36</f>
        <v>0.14773975518645507</v>
      </c>
      <c r="E128" s="235"/>
      <c r="F128" s="277">
        <f>F10</f>
        <v>900</v>
      </c>
      <c r="G128" s="234">
        <f t="shared" si="8"/>
        <v>132.96577966780956</v>
      </c>
    </row>
    <row r="129" spans="1:8" x14ac:dyDescent="0.25">
      <c r="A129" s="4">
        <f>'Reactor Batch 1'!C151</f>
        <v>13023.968000000001</v>
      </c>
      <c r="B129" s="239">
        <v>2</v>
      </c>
      <c r="C129" s="283">
        <f t="shared" si="9"/>
        <v>13928</v>
      </c>
      <c r="D129" s="283">
        <f t="shared" si="10"/>
        <v>2.7938114771640207E-2</v>
      </c>
      <c r="E129" s="235"/>
      <c r="F129" s="277">
        <f t="shared" ref="F129:F134" si="11">F11</f>
        <v>1200</v>
      </c>
      <c r="G129" s="235">
        <f t="shared" si="8"/>
        <v>33.525737725968249</v>
      </c>
      <c r="H129"/>
    </row>
    <row r="130" spans="1:8" x14ac:dyDescent="0.25">
      <c r="A130" s="4"/>
      <c r="B130" s="239">
        <v>3</v>
      </c>
      <c r="C130" s="282">
        <f t="shared" si="9"/>
        <v>13928</v>
      </c>
      <c r="D130" s="282">
        <f t="shared" si="10"/>
        <v>5.1898442854603162E-2</v>
      </c>
      <c r="E130" s="278"/>
      <c r="F130" s="277">
        <f t="shared" si="11"/>
        <v>600</v>
      </c>
      <c r="G130" s="278">
        <f t="shared" si="8"/>
        <v>31.139065712761898</v>
      </c>
      <c r="H130"/>
    </row>
    <row r="131" spans="1:8" x14ac:dyDescent="0.25">
      <c r="A131" s="4"/>
      <c r="B131" s="239">
        <v>4</v>
      </c>
      <c r="C131" s="283">
        <f t="shared" si="9"/>
        <v>13928</v>
      </c>
      <c r="D131" s="283">
        <f t="shared" si="10"/>
        <v>2.5941420764726646E-2</v>
      </c>
      <c r="E131" s="278"/>
      <c r="F131" s="277">
        <f t="shared" si="11"/>
        <v>1440</v>
      </c>
      <c r="G131" s="278">
        <f t="shared" si="8"/>
        <v>37.355645901206373</v>
      </c>
      <c r="H131"/>
    </row>
    <row r="132" spans="1:8" x14ac:dyDescent="0.25">
      <c r="A132" s="4"/>
      <c r="B132" s="239">
        <v>5</v>
      </c>
      <c r="C132" s="282">
        <f t="shared" si="9"/>
        <v>13928</v>
      </c>
      <c r="D132" s="282">
        <f t="shared" si="10"/>
        <v>6.3878606896084711E-2</v>
      </c>
      <c r="E132" s="278"/>
      <c r="F132" s="277">
        <f t="shared" si="11"/>
        <v>600</v>
      </c>
      <c r="G132" s="278">
        <f t="shared" si="8"/>
        <v>38.327164137650826</v>
      </c>
      <c r="H132"/>
    </row>
    <row r="133" spans="1:8" x14ac:dyDescent="0.25">
      <c r="A133" s="4"/>
      <c r="B133" s="239">
        <v>6</v>
      </c>
      <c r="C133" s="283">
        <f t="shared" si="9"/>
        <v>13928</v>
      </c>
      <c r="D133" s="283">
        <f t="shared" si="10"/>
        <v>3.9918278813121717E-2</v>
      </c>
      <c r="E133" s="278"/>
      <c r="F133" s="277">
        <f t="shared" si="11"/>
        <v>600</v>
      </c>
      <c r="G133" s="278">
        <f t="shared" si="8"/>
        <v>23.950967287873031</v>
      </c>
      <c r="H133"/>
    </row>
    <row r="134" spans="1:8" x14ac:dyDescent="0.25">
      <c r="A134" s="4"/>
      <c r="B134" s="239" t="s">
        <v>1112</v>
      </c>
      <c r="C134" s="282">
        <f t="shared" si="9"/>
        <v>13928</v>
      </c>
      <c r="D134" s="282">
        <f t="shared" si="10"/>
        <v>4.1914972820035319E-2</v>
      </c>
      <c r="E134" s="235"/>
      <c r="F134" s="277">
        <f t="shared" si="11"/>
        <v>3600</v>
      </c>
      <c r="G134" s="233">
        <f t="shared" si="8"/>
        <v>150.89390215212714</v>
      </c>
      <c r="H134"/>
    </row>
    <row r="135" spans="1:8" x14ac:dyDescent="0.25">
      <c r="A135" s="4"/>
      <c r="B135" s="239"/>
      <c r="C135" s="283"/>
      <c r="D135" s="283"/>
      <c r="E135" s="278"/>
      <c r="F135" s="48"/>
      <c r="G135" s="278"/>
      <c r="H135"/>
    </row>
    <row r="136" spans="1:8" x14ac:dyDescent="0.25">
      <c r="A136" s="4" t="s">
        <v>1115</v>
      </c>
      <c r="B136" s="239" t="s">
        <v>251</v>
      </c>
      <c r="C136" s="239" t="s">
        <v>1114</v>
      </c>
      <c r="D136" s="239" t="s">
        <v>250</v>
      </c>
      <c r="E136" s="278"/>
      <c r="F136" s="277" t="s">
        <v>1116</v>
      </c>
      <c r="G136" s="278" t="s">
        <v>248</v>
      </c>
      <c r="H136"/>
    </row>
    <row r="137" spans="1:8" x14ac:dyDescent="0.25">
      <c r="A137" s="4"/>
      <c r="B137" s="239">
        <v>1</v>
      </c>
      <c r="C137" s="239">
        <f t="shared" ref="C137:C143" si="12">$A$138*$C$21</f>
        <v>10300</v>
      </c>
      <c r="D137" s="239">
        <f t="shared" ref="D137:D143" si="13">(($C$137/600)*$C$28*(-1)*(((($C$137*$C$24*(E10-D10)/F10)/(($C$137/600)*$C$28))-$C$40)*$C$42*(-1)-($C$40/$C$42)))/$C$36</f>
        <v>0.10925613716402122</v>
      </c>
      <c r="E137" s="235"/>
      <c r="F137" s="277">
        <f>F10</f>
        <v>900</v>
      </c>
      <c r="G137" s="47">
        <f t="shared" si="8"/>
        <v>98.3305234476191</v>
      </c>
      <c r="H137"/>
    </row>
    <row r="138" spans="1:8" x14ac:dyDescent="0.25">
      <c r="A138" s="4">
        <f>'Reactor Batch 1'!C175</f>
        <v>9680.7999999999993</v>
      </c>
      <c r="B138" s="239">
        <v>2</v>
      </c>
      <c r="C138" s="239">
        <f t="shared" si="12"/>
        <v>10300</v>
      </c>
      <c r="D138" s="239">
        <f t="shared" si="13"/>
        <v>2.0660725312169309E-2</v>
      </c>
      <c r="E138" s="235"/>
      <c r="F138" s="277">
        <f t="shared" ref="F138:F143" si="14">F11</f>
        <v>1200</v>
      </c>
      <c r="G138" s="45">
        <f t="shared" si="8"/>
        <v>24.792870374603172</v>
      </c>
      <c r="H138"/>
    </row>
    <row r="139" spans="1:8" x14ac:dyDescent="0.25">
      <c r="A139" s="4"/>
      <c r="B139" s="239">
        <v>3</v>
      </c>
      <c r="C139" s="239">
        <f t="shared" si="12"/>
        <v>10300</v>
      </c>
      <c r="D139" s="239">
        <f t="shared" si="13"/>
        <v>3.8379807682539673E-2</v>
      </c>
      <c r="E139" s="278"/>
      <c r="F139" s="277">
        <f t="shared" si="14"/>
        <v>600</v>
      </c>
      <c r="G139" s="45">
        <f t="shared" si="8"/>
        <v>23.027884609523802</v>
      </c>
      <c r="H139"/>
    </row>
    <row r="140" spans="1:8" x14ac:dyDescent="0.25">
      <c r="A140" s="4"/>
      <c r="B140" s="239">
        <v>4</v>
      </c>
      <c r="C140" s="239">
        <f t="shared" si="12"/>
        <v>10300</v>
      </c>
      <c r="D140" s="239">
        <f t="shared" si="13"/>
        <v>1.918413511463846E-2</v>
      </c>
      <c r="E140" s="278"/>
      <c r="F140" s="277">
        <f t="shared" si="14"/>
        <v>1440</v>
      </c>
      <c r="G140" s="45">
        <f t="shared" si="8"/>
        <v>27.625154565079381</v>
      </c>
      <c r="H140"/>
    </row>
    <row r="141" spans="1:8" x14ac:dyDescent="0.25">
      <c r="A141" s="4"/>
      <c r="B141" s="239">
        <v>5</v>
      </c>
      <c r="C141" s="239">
        <f t="shared" si="12"/>
        <v>10300</v>
      </c>
      <c r="D141" s="239">
        <f t="shared" si="13"/>
        <v>4.7239348867724913E-2</v>
      </c>
      <c r="E141" s="278"/>
      <c r="F141" s="277">
        <f t="shared" si="14"/>
        <v>600</v>
      </c>
      <c r="G141" s="45">
        <f t="shared" si="8"/>
        <v>28.343609320634947</v>
      </c>
      <c r="H141"/>
    </row>
    <row r="142" spans="1:8" x14ac:dyDescent="0.25">
      <c r="A142" s="4"/>
      <c r="B142" s="239">
        <v>6</v>
      </c>
      <c r="C142" s="239">
        <f t="shared" si="12"/>
        <v>10300</v>
      </c>
      <c r="D142" s="239">
        <f t="shared" si="13"/>
        <v>2.9520266497354522E-2</v>
      </c>
      <c r="E142" s="278"/>
      <c r="F142" s="277">
        <f t="shared" si="14"/>
        <v>600</v>
      </c>
      <c r="G142" s="45">
        <f t="shared" si="8"/>
        <v>17.712159898412715</v>
      </c>
      <c r="H142"/>
    </row>
    <row r="143" spans="1:8" x14ac:dyDescent="0.25">
      <c r="A143" s="4"/>
      <c r="B143" s="239" t="s">
        <v>1112</v>
      </c>
      <c r="C143" s="239">
        <f t="shared" si="12"/>
        <v>10300</v>
      </c>
      <c r="D143" s="239">
        <f t="shared" si="13"/>
        <v>3.0996856694885399E-2</v>
      </c>
      <c r="E143" s="235"/>
      <c r="F143" s="277">
        <f t="shared" si="14"/>
        <v>3600</v>
      </c>
      <c r="G143" s="42">
        <f t="shared" si="8"/>
        <v>111.58868410158743</v>
      </c>
      <c r="H143"/>
    </row>
    <row r="144" spans="1:8" x14ac:dyDescent="0.25">
      <c r="F144" s="41" t="s">
        <v>246</v>
      </c>
      <c r="G144" s="40">
        <f>SUM(G119:G143)</f>
        <v>1156.047534331429</v>
      </c>
      <c r="H144" s="182"/>
    </row>
    <row r="146" spans="2:19" x14ac:dyDescent="0.25">
      <c r="C146" s="232" t="s">
        <v>245</v>
      </c>
      <c r="D146" s="232"/>
      <c r="H146" s="162"/>
      <c r="I146" s="284"/>
      <c r="J146" s="284"/>
      <c r="K146" s="284"/>
      <c r="L146" s="284"/>
      <c r="M146" s="284"/>
      <c r="N146" s="284"/>
      <c r="O146" s="284"/>
      <c r="P146" s="284"/>
      <c r="Q146" s="284"/>
      <c r="R146" s="284"/>
      <c r="S146" s="284"/>
    </row>
    <row r="147" spans="2:19" x14ac:dyDescent="0.25">
      <c r="H147" s="162"/>
      <c r="I147" s="285"/>
      <c r="J147" s="285"/>
      <c r="K147" s="378"/>
      <c r="L147" s="378"/>
      <c r="M147" s="378"/>
      <c r="N147" s="378"/>
      <c r="O147" s="378"/>
      <c r="P147" s="378"/>
      <c r="Q147" s="378"/>
      <c r="R147" s="378"/>
      <c r="S147" s="378"/>
    </row>
    <row r="148" spans="2:19" x14ac:dyDescent="0.25">
      <c r="D148"/>
      <c r="F148" s="232" t="s">
        <v>1208</v>
      </c>
      <c r="G148" s="232" t="s">
        <v>1209</v>
      </c>
      <c r="H148" s="162"/>
      <c r="I148" s="162"/>
      <c r="J148" s="162"/>
      <c r="K148" s="162"/>
      <c r="L148" s="162"/>
      <c r="M148" s="162"/>
      <c r="N148" s="162"/>
      <c r="O148" s="162"/>
      <c r="P148" s="162"/>
      <c r="Q148" s="162"/>
      <c r="R148" s="162"/>
      <c r="S148" s="162"/>
    </row>
    <row r="149" spans="2:19" x14ac:dyDescent="0.25">
      <c r="B149" t="s">
        <v>827</v>
      </c>
      <c r="C149" s="236" t="s">
        <v>243</v>
      </c>
      <c r="D149" s="34" t="s">
        <v>46</v>
      </c>
      <c r="E149" s="34"/>
      <c r="F149" s="285">
        <f>C50</f>
        <v>23.213333333333335</v>
      </c>
      <c r="G149" s="162">
        <f>F149+SUM(Tabla107[Tiempo '[s']])</f>
        <v>8963.2133333333331</v>
      </c>
      <c r="H149" s="162"/>
      <c r="I149" s="162"/>
      <c r="J149" s="284"/>
      <c r="K149" s="284"/>
      <c r="L149" s="284"/>
      <c r="M149" s="284"/>
      <c r="N149" s="284"/>
      <c r="O149" s="284"/>
      <c r="P149" s="284"/>
      <c r="Q149" s="284"/>
    </row>
    <row r="150" spans="2:19" x14ac:dyDescent="0.25">
      <c r="B150" s="239" t="s">
        <v>242</v>
      </c>
      <c r="C150" s="279">
        <f>1.3*B239/(0.21*C91*SUM(F119:F143)*C29)</f>
        <v>1545.8651522300333</v>
      </c>
      <c r="D150" s="279" t="s">
        <v>97</v>
      </c>
      <c r="E150" s="34"/>
      <c r="F150" s="162"/>
      <c r="G150" s="162"/>
      <c r="H150" s="162"/>
      <c r="I150" s="162"/>
      <c r="J150" s="284"/>
      <c r="K150" s="284"/>
      <c r="L150" s="284"/>
      <c r="M150" s="284"/>
      <c r="N150" s="284"/>
      <c r="O150" s="284"/>
      <c r="P150" s="284"/>
      <c r="Q150" s="284"/>
    </row>
    <row r="151" spans="2:19" x14ac:dyDescent="0.25">
      <c r="B151" s="239" t="s">
        <v>241</v>
      </c>
      <c r="C151" s="279">
        <f>C150*C91</f>
        <v>1082.1056065610233</v>
      </c>
      <c r="D151" s="279" t="s">
        <v>240</v>
      </c>
      <c r="E151" s="34"/>
      <c r="F151" s="162"/>
      <c r="G151" s="162"/>
      <c r="H151" s="162"/>
      <c r="I151" s="162"/>
      <c r="J151" s="284"/>
      <c r="K151" s="284"/>
      <c r="L151" s="284"/>
      <c r="M151" s="284"/>
      <c r="N151" s="284"/>
      <c r="O151" s="284"/>
      <c r="P151" s="284"/>
      <c r="Q151" s="284"/>
    </row>
    <row r="152" spans="2:19" x14ac:dyDescent="0.25">
      <c r="B152" s="239" t="s">
        <v>239</v>
      </c>
      <c r="C152" s="279">
        <f>C151*C29</f>
        <v>340.70095022573821</v>
      </c>
      <c r="D152" s="279" t="s">
        <v>195</v>
      </c>
      <c r="E152" s="39"/>
      <c r="F152" s="162"/>
      <c r="G152" s="162"/>
      <c r="H152" s="284"/>
      <c r="I152" s="284"/>
      <c r="J152" s="284"/>
      <c r="K152" s="284"/>
      <c r="L152" s="284"/>
      <c r="M152" s="284"/>
      <c r="N152" s="284"/>
      <c r="O152" s="284"/>
      <c r="P152" s="284"/>
      <c r="Q152" s="284"/>
    </row>
    <row r="153" spans="2:19" x14ac:dyDescent="0.25">
      <c r="C153" s="232"/>
      <c r="D153" s="232"/>
      <c r="E153" s="34"/>
      <c r="F153" s="162"/>
      <c r="G153" s="284"/>
      <c r="H153" s="284"/>
      <c r="I153" s="284"/>
      <c r="J153" s="284"/>
      <c r="K153" s="284"/>
      <c r="L153" s="284"/>
      <c r="M153" s="284"/>
      <c r="N153" s="284"/>
      <c r="O153" s="284"/>
      <c r="P153" s="284"/>
      <c r="Q153" s="284"/>
    </row>
    <row r="154" spans="2:19" x14ac:dyDescent="0.25">
      <c r="B154" s="34" t="s">
        <v>238</v>
      </c>
      <c r="C154" t="s">
        <v>237</v>
      </c>
    </row>
    <row r="155" spans="2:19" x14ac:dyDescent="0.25">
      <c r="C155" t="s">
        <v>236</v>
      </c>
    </row>
    <row r="157" spans="2:19" x14ac:dyDescent="0.25">
      <c r="D157" s="34" t="s">
        <v>1077</v>
      </c>
    </row>
    <row r="162" spans="2:8" x14ac:dyDescent="0.25">
      <c r="G162" s="276" t="s">
        <v>244</v>
      </c>
    </row>
    <row r="163" spans="2:8" x14ac:dyDescent="0.25">
      <c r="B163" s="255" t="s">
        <v>827</v>
      </c>
      <c r="C163" s="254" t="s">
        <v>235</v>
      </c>
      <c r="D163" s="253" t="s">
        <v>1064</v>
      </c>
    </row>
    <row r="164" spans="2:8" x14ac:dyDescent="0.25">
      <c r="B164" s="243" t="s">
        <v>234</v>
      </c>
      <c r="C164" s="236">
        <f>28/1000</f>
        <v>2.8000000000000001E-2</v>
      </c>
      <c r="D164" s="252" t="s">
        <v>229</v>
      </c>
      <c r="H164"/>
    </row>
    <row r="165" spans="2:8" x14ac:dyDescent="0.25">
      <c r="B165" s="243" t="s">
        <v>233</v>
      </c>
      <c r="C165" s="236">
        <f>(12+1.44+16*0.66)/1000</f>
        <v>2.4E-2</v>
      </c>
      <c r="D165" s="252" t="s">
        <v>229</v>
      </c>
    </row>
    <row r="166" spans="2:8" x14ac:dyDescent="0.25">
      <c r="B166" s="243" t="s">
        <v>232</v>
      </c>
      <c r="C166" s="236">
        <f>32/1000</f>
        <v>3.2000000000000001E-2</v>
      </c>
      <c r="D166" s="252" t="s">
        <v>229</v>
      </c>
    </row>
    <row r="167" spans="2:8" x14ac:dyDescent="0.25">
      <c r="B167" s="243" t="s">
        <v>231</v>
      </c>
      <c r="C167" s="236">
        <f>44/1000</f>
        <v>4.3999999999999997E-2</v>
      </c>
      <c r="D167" s="252" t="s">
        <v>229</v>
      </c>
    </row>
    <row r="168" spans="2:8" x14ac:dyDescent="0.25">
      <c r="B168" s="47" t="s">
        <v>230</v>
      </c>
      <c r="C168" s="104">
        <f>18/1000</f>
        <v>1.7999999999999999E-2</v>
      </c>
      <c r="D168" s="240" t="s">
        <v>229</v>
      </c>
    </row>
    <row r="179" spans="6:6" x14ac:dyDescent="0.25">
      <c r="F179" t="s">
        <v>606</v>
      </c>
    </row>
    <row r="180" spans="6:6" x14ac:dyDescent="0.25">
      <c r="F180" t="s">
        <v>607</v>
      </c>
    </row>
    <row r="181" spans="6:6" x14ac:dyDescent="0.25">
      <c r="F181" t="s">
        <v>608</v>
      </c>
    </row>
    <row r="182" spans="6:6" x14ac:dyDescent="0.25">
      <c r="F182" t="s">
        <v>770</v>
      </c>
    </row>
    <row r="183" spans="6:6" x14ac:dyDescent="0.25">
      <c r="F183" t="s">
        <v>769</v>
      </c>
    </row>
    <row r="184" spans="6:6" x14ac:dyDescent="0.25">
      <c r="F184" t="s">
        <v>768</v>
      </c>
    </row>
    <row r="239" spans="2:2" x14ac:dyDescent="0.25">
      <c r="B239" s="34">
        <v>1476073.7629703099</v>
      </c>
    </row>
  </sheetData>
  <mergeCells count="14">
    <mergeCell ref="K147:L147"/>
    <mergeCell ref="M147:N147"/>
    <mergeCell ref="O147:S147"/>
    <mergeCell ref="A70:C70"/>
    <mergeCell ref="A71:C71"/>
    <mergeCell ref="B1:J7"/>
    <mergeCell ref="A102:C102"/>
    <mergeCell ref="J116:L116"/>
    <mergeCell ref="K117:L117"/>
    <mergeCell ref="M116:Q116"/>
    <mergeCell ref="P117:Q117"/>
    <mergeCell ref="H115:P115"/>
    <mergeCell ref="A37:C37"/>
    <mergeCell ref="A47:C47"/>
  </mergeCells>
  <hyperlinks>
    <hyperlink ref="F29" r:id="rId1" display="http://catalog.conveyorspneumatic.com/Asset/FLS%20Specific%20Heat%20Capacities%20of%20Gases.pdf"/>
    <hyperlink ref="F30:F33" r:id="rId2" display="http://catalog.conveyorspneumatic.com/Asset/FLS%20Specific%20Heat%20Capacities%20of%20Gases.pdf"/>
  </hyperlinks>
  <pageMargins left="0.7" right="0.7" top="0.75" bottom="0.75" header="0.3" footer="0.3"/>
  <pageSetup paperSize="9" orientation="portrait" r:id="rId3"/>
  <drawing r:id="rId4"/>
  <tableParts count="14">
    <tablePart r:id="rId5"/>
    <tablePart r:id="rId6"/>
    <tablePart r:id="rId7"/>
    <tablePart r:id="rId8"/>
    <tablePart r:id="rId9"/>
    <tablePart r:id="rId10"/>
    <tablePart r:id="rId11"/>
    <tablePart r:id="rId12"/>
    <tablePart r:id="rId13"/>
    <tablePart r:id="rId14"/>
    <tablePart r:id="rId15"/>
    <tablePart r:id="rId16"/>
    <tablePart r:id="rId17"/>
    <tablePart r:id="rId18"/>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8"/>
  <sheetViews>
    <sheetView topLeftCell="A52" zoomScale="60" zoomScaleNormal="60" workbookViewId="0">
      <selection activeCell="C61" sqref="C61:D61"/>
    </sheetView>
  </sheetViews>
  <sheetFormatPr baseColWidth="10" defaultRowHeight="15" x14ac:dyDescent="0.25"/>
  <cols>
    <col min="1" max="1" width="50.42578125" bestFit="1" customWidth="1"/>
    <col min="2" max="2" width="10.85546875" customWidth="1"/>
    <col min="3" max="4" width="27.42578125" bestFit="1" customWidth="1"/>
    <col min="5" max="5" width="75.5703125" bestFit="1" customWidth="1"/>
    <col min="6" max="6" width="15.7109375" bestFit="1" customWidth="1"/>
    <col min="7" max="7" width="22.5703125" bestFit="1" customWidth="1"/>
    <col min="8" max="8" width="22.5703125" customWidth="1"/>
    <col min="9" max="9" width="22.28515625" customWidth="1"/>
    <col min="10" max="10" width="26.140625" customWidth="1"/>
    <col min="11" max="11" width="22.140625" customWidth="1"/>
    <col min="12" max="12" width="26.140625" bestFit="1" customWidth="1"/>
    <col min="13" max="13" width="29.85546875" bestFit="1" customWidth="1"/>
    <col min="14" max="14" width="23" bestFit="1" customWidth="1"/>
    <col min="15" max="15" width="24.140625" bestFit="1" customWidth="1"/>
    <col min="16" max="17" width="22.42578125" bestFit="1" customWidth="1"/>
    <col min="20" max="20" width="15" bestFit="1" customWidth="1"/>
    <col min="21" max="21" width="18.140625" bestFit="1" customWidth="1"/>
  </cols>
  <sheetData>
    <row r="1" spans="1:9" x14ac:dyDescent="0.25">
      <c r="A1" s="357"/>
      <c r="B1" s="357"/>
      <c r="C1" s="357"/>
      <c r="D1" s="357"/>
      <c r="E1" s="357"/>
      <c r="F1" s="3"/>
      <c r="G1" s="3"/>
      <c r="H1" s="3"/>
    </row>
    <row r="2" spans="1:9" x14ac:dyDescent="0.25">
      <c r="A2" s="357"/>
      <c r="B2" s="357"/>
      <c r="C2" s="357"/>
      <c r="D2" s="357"/>
      <c r="E2" s="357"/>
      <c r="F2" s="20"/>
      <c r="G2" s="3"/>
      <c r="H2" s="3"/>
    </row>
    <row r="3" spans="1:9" x14ac:dyDescent="0.25">
      <c r="A3" s="357"/>
      <c r="B3" s="357"/>
      <c r="C3" s="357"/>
      <c r="D3" s="357"/>
      <c r="E3" s="357"/>
      <c r="F3" s="3"/>
      <c r="G3" s="3"/>
      <c r="H3" s="3"/>
    </row>
    <row r="4" spans="1:9" x14ac:dyDescent="0.25">
      <c r="A4" s="357"/>
      <c r="B4" s="357"/>
      <c r="C4" s="357"/>
      <c r="D4" s="357"/>
      <c r="E4" s="357"/>
      <c r="F4" s="3"/>
      <c r="G4" s="3"/>
      <c r="H4" s="3"/>
    </row>
    <row r="5" spans="1:9" x14ac:dyDescent="0.25">
      <c r="A5" s="357"/>
      <c r="B5" s="357"/>
      <c r="C5" s="357"/>
      <c r="D5" s="357"/>
      <c r="E5" s="357"/>
      <c r="F5" s="3"/>
      <c r="G5" s="3"/>
      <c r="H5" s="3"/>
    </row>
    <row r="6" spans="1:9" x14ac:dyDescent="0.25">
      <c r="A6" s="357"/>
      <c r="B6" s="357"/>
      <c r="C6" s="357"/>
      <c r="D6" s="357"/>
      <c r="E6" s="357"/>
      <c r="F6" s="3"/>
      <c r="G6" s="3"/>
      <c r="H6" s="3"/>
    </row>
    <row r="7" spans="1:9" x14ac:dyDescent="0.25">
      <c r="A7" s="357"/>
      <c r="B7" s="357"/>
      <c r="C7" s="357"/>
      <c r="D7" s="357"/>
      <c r="E7" s="357"/>
      <c r="F7" s="3"/>
      <c r="G7" s="3"/>
      <c r="H7" s="3"/>
      <c r="I7" s="3"/>
    </row>
    <row r="8" spans="1:9" x14ac:dyDescent="0.25">
      <c r="A8" s="357"/>
      <c r="B8" s="357"/>
      <c r="C8" s="357"/>
      <c r="D8" s="357"/>
      <c r="E8" s="357"/>
      <c r="F8" s="3"/>
      <c r="G8" s="3"/>
      <c r="H8" s="3"/>
    </row>
    <row r="9" spans="1:9" x14ac:dyDescent="0.25">
      <c r="A9" s="357"/>
      <c r="B9" s="357"/>
      <c r="C9" s="357"/>
      <c r="D9" s="357"/>
      <c r="E9" s="357"/>
      <c r="F9" s="3"/>
      <c r="G9" s="3"/>
      <c r="H9" s="3"/>
    </row>
    <row r="10" spans="1:9" x14ac:dyDescent="0.25">
      <c r="A10" s="357"/>
      <c r="B10" s="357"/>
      <c r="C10" s="357"/>
      <c r="D10" s="357"/>
      <c r="E10" s="357"/>
      <c r="F10" s="3"/>
      <c r="G10" s="3"/>
      <c r="H10" s="3"/>
    </row>
    <row r="11" spans="1:9" x14ac:dyDescent="0.25">
      <c r="A11" s="357"/>
      <c r="B11" s="357"/>
      <c r="C11" s="357"/>
      <c r="D11" s="357"/>
      <c r="E11" s="357"/>
      <c r="F11" s="3"/>
      <c r="G11" s="3"/>
      <c r="H11" s="3"/>
      <c r="I11" s="3"/>
    </row>
    <row r="12" spans="1:9" x14ac:dyDescent="0.25">
      <c r="A12" s="105"/>
      <c r="G12" s="3"/>
    </row>
    <row r="13" spans="1:9" x14ac:dyDescent="0.25">
      <c r="A13" s="129" t="s">
        <v>139</v>
      </c>
      <c r="B13" s="122" t="s">
        <v>1</v>
      </c>
      <c r="C13" s="122" t="s">
        <v>45</v>
      </c>
      <c r="D13" s="122" t="s">
        <v>46</v>
      </c>
      <c r="E13" s="122" t="s">
        <v>157</v>
      </c>
      <c r="F13" s="115" t="s">
        <v>61</v>
      </c>
      <c r="G13" s="18"/>
    </row>
    <row r="14" spans="1:9" x14ac:dyDescent="0.25">
      <c r="A14" s="127" t="s">
        <v>809</v>
      </c>
      <c r="B14" s="106" t="s">
        <v>797</v>
      </c>
      <c r="C14" s="95" t="s">
        <v>153</v>
      </c>
      <c r="D14" s="110">
        <v>46.068399999999997</v>
      </c>
      <c r="E14" s="95"/>
      <c r="F14" s="96" t="s">
        <v>158</v>
      </c>
    </row>
    <row r="15" spans="1:9" x14ac:dyDescent="0.25">
      <c r="A15" s="127" t="s">
        <v>810</v>
      </c>
      <c r="B15" s="89" t="s">
        <v>801</v>
      </c>
      <c r="C15" s="95" t="s">
        <v>153</v>
      </c>
      <c r="D15" s="110">
        <v>18.0153</v>
      </c>
      <c r="E15" s="95"/>
      <c r="F15" s="96" t="s">
        <v>158</v>
      </c>
    </row>
    <row r="16" spans="1:9" x14ac:dyDescent="0.25">
      <c r="A16" s="127" t="s">
        <v>451</v>
      </c>
      <c r="B16" s="89" t="s">
        <v>800</v>
      </c>
      <c r="C16" s="95" t="s">
        <v>153</v>
      </c>
      <c r="D16" s="110">
        <v>44.009500000000003</v>
      </c>
      <c r="E16" s="95"/>
      <c r="F16" s="96" t="s">
        <v>158</v>
      </c>
    </row>
    <row r="17" spans="1:6" x14ac:dyDescent="0.25">
      <c r="A17" s="127" t="s">
        <v>452</v>
      </c>
      <c r="B17" s="89" t="s">
        <v>799</v>
      </c>
      <c r="C17" s="95" t="s">
        <v>153</v>
      </c>
      <c r="D17" s="110">
        <v>25.35</v>
      </c>
      <c r="E17" s="95"/>
      <c r="F17" s="96" t="s">
        <v>158</v>
      </c>
    </row>
    <row r="18" spans="1:6" x14ac:dyDescent="0.25">
      <c r="A18" s="127" t="s">
        <v>453</v>
      </c>
      <c r="B18" s="89" t="s">
        <v>798</v>
      </c>
      <c r="C18" s="95" t="s">
        <v>153</v>
      </c>
      <c r="D18" s="110">
        <v>18.04</v>
      </c>
      <c r="E18" s="95"/>
      <c r="F18" s="96" t="s">
        <v>158</v>
      </c>
    </row>
    <row r="19" spans="1:6" x14ac:dyDescent="0.25">
      <c r="A19" s="127" t="s">
        <v>811</v>
      </c>
      <c r="B19" s="89" t="s">
        <v>802</v>
      </c>
      <c r="C19" s="95" t="s">
        <v>153</v>
      </c>
      <c r="D19" s="110">
        <v>61.01</v>
      </c>
      <c r="E19" s="95"/>
      <c r="F19" s="96" t="s">
        <v>158</v>
      </c>
    </row>
    <row r="20" spans="1:6" x14ac:dyDescent="0.25">
      <c r="A20" s="127" t="s">
        <v>812</v>
      </c>
      <c r="B20" s="95" t="s">
        <v>143</v>
      </c>
      <c r="C20" s="95" t="s">
        <v>153</v>
      </c>
      <c r="D20" s="110">
        <v>180.1559</v>
      </c>
      <c r="E20" s="95"/>
      <c r="F20" s="96" t="s">
        <v>158</v>
      </c>
    </row>
    <row r="21" spans="1:6" x14ac:dyDescent="0.25">
      <c r="A21" s="127" t="s">
        <v>813</v>
      </c>
      <c r="B21" s="95" t="s">
        <v>144</v>
      </c>
      <c r="C21" s="95" t="s">
        <v>153</v>
      </c>
      <c r="D21" s="110">
        <v>342.29649999999998</v>
      </c>
      <c r="E21" s="95"/>
      <c r="F21" s="96" t="s">
        <v>158</v>
      </c>
    </row>
    <row r="22" spans="1:6" x14ac:dyDescent="0.25">
      <c r="A22" s="127" t="s">
        <v>814</v>
      </c>
      <c r="B22" s="95" t="s">
        <v>186</v>
      </c>
      <c r="C22" s="95" t="s">
        <v>153</v>
      </c>
      <c r="D22" s="110">
        <v>504.43700000000001</v>
      </c>
      <c r="E22" s="95"/>
      <c r="F22" s="96" t="s">
        <v>158</v>
      </c>
    </row>
    <row r="23" spans="1:6" x14ac:dyDescent="0.25">
      <c r="A23" s="127" t="s">
        <v>815</v>
      </c>
      <c r="B23" s="5" t="s">
        <v>145</v>
      </c>
      <c r="C23" s="95" t="s">
        <v>154</v>
      </c>
      <c r="D23" s="110">
        <v>0.1348</v>
      </c>
      <c r="E23" s="95"/>
      <c r="F23" s="96" t="s">
        <v>159</v>
      </c>
    </row>
    <row r="24" spans="1:6" x14ac:dyDescent="0.25">
      <c r="A24" s="127" t="s">
        <v>816</v>
      </c>
      <c r="B24" s="5" t="s">
        <v>146</v>
      </c>
      <c r="C24" s="95" t="s">
        <v>154</v>
      </c>
      <c r="D24" s="110">
        <v>0.2581</v>
      </c>
      <c r="E24" s="95"/>
      <c r="F24" s="96" t="s">
        <v>159</v>
      </c>
    </row>
    <row r="25" spans="1:6" x14ac:dyDescent="0.25">
      <c r="A25" s="127" t="s">
        <v>817</v>
      </c>
      <c r="B25" s="5" t="s">
        <v>182</v>
      </c>
      <c r="C25" s="95" t="s">
        <v>154</v>
      </c>
      <c r="D25" s="110">
        <v>0.98809999999999998</v>
      </c>
      <c r="E25" s="95"/>
      <c r="F25" s="96" t="s">
        <v>159</v>
      </c>
    </row>
    <row r="26" spans="1:6" x14ac:dyDescent="0.25">
      <c r="A26" s="127" t="s">
        <v>818</v>
      </c>
      <c r="B26" s="5" t="s">
        <v>147</v>
      </c>
      <c r="C26" s="95" t="s">
        <v>167</v>
      </c>
      <c r="D26" s="110">
        <v>0.13400000000000001</v>
      </c>
      <c r="E26" s="95"/>
      <c r="F26" s="96" t="s">
        <v>159</v>
      </c>
    </row>
    <row r="27" spans="1:6" x14ac:dyDescent="0.25">
      <c r="A27" s="127" t="s">
        <v>819</v>
      </c>
      <c r="B27" s="5" t="s">
        <v>148</v>
      </c>
      <c r="C27" s="95" t="s">
        <v>167</v>
      </c>
      <c r="D27" s="110">
        <v>14.023</v>
      </c>
      <c r="E27" s="95"/>
      <c r="F27" s="96" t="s">
        <v>159</v>
      </c>
    </row>
    <row r="28" spans="1:6" x14ac:dyDescent="0.25">
      <c r="A28" s="127" t="s">
        <v>820</v>
      </c>
      <c r="B28" s="5" t="s">
        <v>183</v>
      </c>
      <c r="C28" s="95" t="s">
        <v>167</v>
      </c>
      <c r="D28" s="110">
        <v>126</v>
      </c>
      <c r="E28" s="95"/>
      <c r="F28" s="96" t="s">
        <v>159</v>
      </c>
    </row>
    <row r="29" spans="1:6" x14ac:dyDescent="0.25">
      <c r="A29" s="127" t="s">
        <v>821</v>
      </c>
      <c r="B29" s="5" t="s">
        <v>149</v>
      </c>
      <c r="C29" s="95" t="s">
        <v>167</v>
      </c>
      <c r="D29" s="110">
        <v>0.96499999999999997</v>
      </c>
      <c r="E29" s="95"/>
      <c r="F29" s="96" t="s">
        <v>159</v>
      </c>
    </row>
    <row r="30" spans="1:6" x14ac:dyDescent="0.25">
      <c r="A30" s="127" t="s">
        <v>822</v>
      </c>
      <c r="B30" s="5" t="s">
        <v>184</v>
      </c>
      <c r="C30" s="95" t="s">
        <v>167</v>
      </c>
      <c r="D30" s="110">
        <v>4.5</v>
      </c>
      <c r="E30" s="95"/>
      <c r="F30" s="96" t="s">
        <v>159</v>
      </c>
    </row>
    <row r="31" spans="1:6" x14ac:dyDescent="0.25">
      <c r="A31" s="127" t="s">
        <v>142</v>
      </c>
      <c r="B31" s="5" t="s">
        <v>152</v>
      </c>
      <c r="C31" s="95" t="s">
        <v>190</v>
      </c>
      <c r="D31" s="110">
        <v>234.55</v>
      </c>
      <c r="E31" s="95"/>
      <c r="F31" s="96" t="s">
        <v>159</v>
      </c>
    </row>
    <row r="32" spans="1:6" x14ac:dyDescent="0.25">
      <c r="A32" s="127" t="s">
        <v>490</v>
      </c>
      <c r="B32" s="5" t="s">
        <v>804</v>
      </c>
      <c r="C32" s="95" t="s">
        <v>19</v>
      </c>
      <c r="D32" s="110">
        <f>Cocción!D20*1000</f>
        <v>1115.3965498444325</v>
      </c>
      <c r="E32" s="95" t="s">
        <v>826</v>
      </c>
      <c r="F32" s="96"/>
    </row>
    <row r="33" spans="1:6" x14ac:dyDescent="0.25">
      <c r="A33" s="127" t="s">
        <v>793</v>
      </c>
      <c r="B33" s="5" t="s">
        <v>806</v>
      </c>
      <c r="C33" s="6" t="s">
        <v>59</v>
      </c>
      <c r="D33" s="110">
        <f>1025/1106</f>
        <v>0.9267631103074141</v>
      </c>
      <c r="E33" s="95" t="s">
        <v>823</v>
      </c>
      <c r="F33" s="96" t="s">
        <v>168</v>
      </c>
    </row>
    <row r="34" spans="1:6" x14ac:dyDescent="0.25">
      <c r="A34" s="127" t="s">
        <v>488</v>
      </c>
      <c r="B34" s="5" t="s">
        <v>803</v>
      </c>
      <c r="C34" s="95" t="s">
        <v>19</v>
      </c>
      <c r="D34" s="110">
        <f>Cocción!D39*1000</f>
        <v>1077.1254966228416</v>
      </c>
      <c r="E34" s="95" t="s">
        <v>826</v>
      </c>
      <c r="F34" s="96"/>
    </row>
    <row r="35" spans="1:6" x14ac:dyDescent="0.25">
      <c r="A35" s="127" t="s">
        <v>792</v>
      </c>
      <c r="B35" s="5" t="s">
        <v>807</v>
      </c>
      <c r="C35" s="6" t="s">
        <v>59</v>
      </c>
      <c r="D35" s="110">
        <f>1016/1063</f>
        <v>0.95578551269990597</v>
      </c>
      <c r="E35" s="95" t="s">
        <v>825</v>
      </c>
      <c r="F35" s="96" t="s">
        <v>168</v>
      </c>
    </row>
    <row r="36" spans="1:6" x14ac:dyDescent="0.25">
      <c r="A36" s="127" t="s">
        <v>489</v>
      </c>
      <c r="B36" s="5" t="s">
        <v>805</v>
      </c>
      <c r="C36" s="95" t="s">
        <v>19</v>
      </c>
      <c r="D36" s="110">
        <f>Cocción!D58*1000</f>
        <v>1071.0685067349809</v>
      </c>
      <c r="E36" s="95" t="s">
        <v>826</v>
      </c>
      <c r="F36" s="96"/>
    </row>
    <row r="37" spans="1:6" x14ac:dyDescent="0.25">
      <c r="A37" s="130" t="s">
        <v>794</v>
      </c>
      <c r="B37" s="123" t="s">
        <v>808</v>
      </c>
      <c r="C37" s="11" t="s">
        <v>59</v>
      </c>
      <c r="D37" s="124">
        <f>1011/1055</f>
        <v>0.95829383886255926</v>
      </c>
      <c r="E37" s="104" t="s">
        <v>824</v>
      </c>
      <c r="F37" s="48" t="s">
        <v>168</v>
      </c>
    </row>
    <row r="38" spans="1:6" x14ac:dyDescent="0.25">
      <c r="A38" s="93"/>
      <c r="B38" s="22"/>
      <c r="C38" s="22"/>
      <c r="D38" s="22"/>
      <c r="E38" s="22"/>
      <c r="F38" s="22"/>
    </row>
    <row r="39" spans="1:6" x14ac:dyDescent="0.25">
      <c r="D39" s="113" t="s">
        <v>170</v>
      </c>
      <c r="E39" s="114" t="s">
        <v>176</v>
      </c>
      <c r="F39" s="115" t="s">
        <v>46</v>
      </c>
    </row>
    <row r="40" spans="1:6" x14ac:dyDescent="0.25">
      <c r="D40" s="98" t="s">
        <v>172</v>
      </c>
      <c r="E40" s="95" t="s">
        <v>171</v>
      </c>
      <c r="F40" s="96" t="s">
        <v>167</v>
      </c>
    </row>
    <row r="41" spans="1:6" x14ac:dyDescent="0.25">
      <c r="A41" s="101" t="s">
        <v>191</v>
      </c>
      <c r="D41" s="98" t="s">
        <v>166</v>
      </c>
      <c r="E41" s="95" t="s">
        <v>174</v>
      </c>
      <c r="F41" s="96" t="s">
        <v>167</v>
      </c>
    </row>
    <row r="42" spans="1:6" x14ac:dyDescent="0.25">
      <c r="D42" s="98" t="s">
        <v>173</v>
      </c>
      <c r="E42" s="95" t="s">
        <v>175</v>
      </c>
      <c r="F42" s="96" t="s">
        <v>167</v>
      </c>
    </row>
    <row r="43" spans="1:6" x14ac:dyDescent="0.25">
      <c r="A43" s="101" t="s">
        <v>177</v>
      </c>
      <c r="D43" s="47" t="s">
        <v>189</v>
      </c>
      <c r="E43" s="104" t="s">
        <v>106</v>
      </c>
      <c r="F43" s="48" t="s">
        <v>167</v>
      </c>
    </row>
    <row r="44" spans="1:6" x14ac:dyDescent="0.25">
      <c r="A44" s="20"/>
      <c r="B44" s="20"/>
    </row>
    <row r="45" spans="1:6" x14ac:dyDescent="0.25">
      <c r="A45" s="17"/>
      <c r="B45" s="3"/>
    </row>
    <row r="46" spans="1:6" x14ac:dyDescent="0.25">
      <c r="A46" s="17"/>
      <c r="B46" s="3"/>
      <c r="C46" s="379" t="s">
        <v>169</v>
      </c>
      <c r="D46" s="379"/>
    </row>
    <row r="47" spans="1:6" x14ac:dyDescent="0.25">
      <c r="A47" s="17"/>
      <c r="B47" s="3"/>
    </row>
    <row r="48" spans="1:6" x14ac:dyDescent="0.25">
      <c r="A48" s="17"/>
    </row>
    <row r="49" spans="1:7" x14ac:dyDescent="0.25">
      <c r="G49" s="20"/>
    </row>
    <row r="50" spans="1:7" x14ac:dyDescent="0.25">
      <c r="A50" s="101" t="s">
        <v>178</v>
      </c>
    </row>
    <row r="51" spans="1:7" x14ac:dyDescent="0.25">
      <c r="C51" s="21"/>
    </row>
    <row r="52" spans="1:7" x14ac:dyDescent="0.25">
      <c r="E52" s="20"/>
      <c r="F52" s="20"/>
    </row>
    <row r="53" spans="1:7" x14ac:dyDescent="0.25">
      <c r="C53" s="3"/>
    </row>
    <row r="54" spans="1:7" x14ac:dyDescent="0.25">
      <c r="A54" s="101"/>
      <c r="C54" s="379" t="s">
        <v>828</v>
      </c>
      <c r="D54" s="379"/>
      <c r="F54" s="94" t="s">
        <v>827</v>
      </c>
      <c r="G54" s="94" t="s">
        <v>467</v>
      </c>
    </row>
    <row r="55" spans="1:7" x14ac:dyDescent="0.25">
      <c r="A55" s="17"/>
      <c r="C55" s="3"/>
      <c r="F55" s="95" t="s">
        <v>468</v>
      </c>
      <c r="G55" s="95">
        <f>1/24</f>
        <v>4.1666666666666664E-2</v>
      </c>
    </row>
    <row r="56" spans="1:7" x14ac:dyDescent="0.25">
      <c r="C56" s="3"/>
      <c r="F56" s="95" t="s">
        <v>469</v>
      </c>
      <c r="G56" s="95">
        <v>4.0476000000000002E-3</v>
      </c>
    </row>
    <row r="57" spans="1:7" x14ac:dyDescent="0.25">
      <c r="A57" s="101" t="s">
        <v>432</v>
      </c>
      <c r="C57" s="3"/>
      <c r="F57" s="95" t="s">
        <v>470</v>
      </c>
      <c r="G57" s="95">
        <v>7.4999999999999997E-2</v>
      </c>
    </row>
    <row r="58" spans="1:7" x14ac:dyDescent="0.25">
      <c r="A58" s="17"/>
      <c r="F58" s="95" t="s">
        <v>471</v>
      </c>
      <c r="G58" s="95">
        <v>1.3333299999999999E-2</v>
      </c>
    </row>
    <row r="59" spans="1:7" x14ac:dyDescent="0.25">
      <c r="F59" s="95" t="s">
        <v>472</v>
      </c>
      <c r="G59" s="95">
        <v>8.0238100000000007E-2</v>
      </c>
    </row>
    <row r="60" spans="1:7" x14ac:dyDescent="0.25">
      <c r="F60" s="95" t="s">
        <v>473</v>
      </c>
      <c r="G60" s="95">
        <v>2.3809500000000001E-2</v>
      </c>
    </row>
    <row r="61" spans="1:7" x14ac:dyDescent="0.25">
      <c r="C61" s="20"/>
      <c r="D61" s="3"/>
      <c r="F61" s="95" t="s">
        <v>474</v>
      </c>
      <c r="G61" s="95">
        <v>2.3809500000000001E-2</v>
      </c>
    </row>
    <row r="62" spans="1:7" x14ac:dyDescent="0.25">
      <c r="F62" s="95" t="s">
        <v>475</v>
      </c>
      <c r="G62" s="95">
        <v>2.3809500000000001E-2</v>
      </c>
    </row>
    <row r="63" spans="1:7" x14ac:dyDescent="0.25">
      <c r="A63" s="101"/>
      <c r="C63" s="3"/>
      <c r="D63" s="3"/>
    </row>
    <row r="64" spans="1:7" x14ac:dyDescent="0.25">
      <c r="C64" s="3"/>
      <c r="D64" s="3"/>
    </row>
    <row r="65" spans="1:15" x14ac:dyDescent="0.25">
      <c r="A65" s="18"/>
      <c r="C65" s="3"/>
      <c r="D65" s="3"/>
    </row>
    <row r="69" spans="1:15" x14ac:dyDescent="0.25">
      <c r="A69" s="101" t="s">
        <v>50</v>
      </c>
      <c r="B69" s="18" t="s">
        <v>1</v>
      </c>
      <c r="C69" s="18" t="s">
        <v>45</v>
      </c>
      <c r="D69" s="18" t="s">
        <v>46</v>
      </c>
      <c r="E69" s="18" t="s">
        <v>157</v>
      </c>
      <c r="F69" s="18" t="s">
        <v>61</v>
      </c>
    </row>
    <row r="70" spans="1:15" x14ac:dyDescent="0.25">
      <c r="A70" s="95" t="s">
        <v>141</v>
      </c>
      <c r="B70" s="5" t="s">
        <v>150</v>
      </c>
      <c r="C70" s="95" t="s">
        <v>155</v>
      </c>
      <c r="D70" s="95">
        <v>0.56999999999999995</v>
      </c>
      <c r="E70" s="95" t="s">
        <v>832</v>
      </c>
      <c r="F70" s="95" t="s">
        <v>613</v>
      </c>
    </row>
    <row r="71" spans="1:15" x14ac:dyDescent="0.25">
      <c r="A71" s="95" t="s">
        <v>140</v>
      </c>
      <c r="B71" s="5" t="s">
        <v>151</v>
      </c>
      <c r="C71" s="95" t="s">
        <v>156</v>
      </c>
      <c r="D71" s="95">
        <v>1.1399999999999999</v>
      </c>
      <c r="E71" s="95" t="s">
        <v>832</v>
      </c>
      <c r="F71" s="95" t="s">
        <v>613</v>
      </c>
      <c r="G71" s="22"/>
    </row>
    <row r="72" spans="1:15" x14ac:dyDescent="0.25">
      <c r="A72" s="95" t="s">
        <v>162</v>
      </c>
      <c r="B72" s="5" t="s">
        <v>160</v>
      </c>
      <c r="C72" s="95" t="s">
        <v>164</v>
      </c>
      <c r="D72" s="95">
        <v>1.8</v>
      </c>
      <c r="E72" s="95" t="s">
        <v>832</v>
      </c>
      <c r="F72" s="95" t="s">
        <v>613</v>
      </c>
      <c r="G72" s="22"/>
    </row>
    <row r="73" spans="1:15" x14ac:dyDescent="0.25">
      <c r="A73" s="95" t="s">
        <v>163</v>
      </c>
      <c r="B73" s="5" t="s">
        <v>161</v>
      </c>
      <c r="C73" s="95" t="s">
        <v>165</v>
      </c>
      <c r="D73" s="95">
        <v>3.6</v>
      </c>
      <c r="E73" s="95" t="s">
        <v>832</v>
      </c>
      <c r="F73" s="95" t="s">
        <v>613</v>
      </c>
    </row>
    <row r="74" spans="1:15" x14ac:dyDescent="0.25">
      <c r="A74" s="95" t="s">
        <v>187</v>
      </c>
      <c r="B74" s="5" t="s">
        <v>185</v>
      </c>
      <c r="C74" s="95" t="s">
        <v>188</v>
      </c>
      <c r="D74" s="95">
        <v>5.4</v>
      </c>
      <c r="E74" s="95" t="s">
        <v>832</v>
      </c>
      <c r="F74" s="95" t="s">
        <v>613</v>
      </c>
    </row>
    <row r="76" spans="1:15" ht="23.25" x14ac:dyDescent="0.35">
      <c r="A76" s="133" t="s">
        <v>872</v>
      </c>
      <c r="G76" s="132" t="s">
        <v>438</v>
      </c>
    </row>
    <row r="77" spans="1:15" x14ac:dyDescent="0.25">
      <c r="O77" s="17"/>
    </row>
    <row r="79" spans="1:15" x14ac:dyDescent="0.25">
      <c r="A79" s="101" t="s">
        <v>433</v>
      </c>
      <c r="B79" s="18" t="s">
        <v>1</v>
      </c>
      <c r="C79" s="18" t="s">
        <v>45</v>
      </c>
      <c r="D79" s="18" t="s">
        <v>46</v>
      </c>
      <c r="E79" s="18" t="s">
        <v>157</v>
      </c>
      <c r="F79" s="18" t="s">
        <v>61</v>
      </c>
      <c r="H79" s="101" t="s">
        <v>860</v>
      </c>
      <c r="I79" s="101" t="s">
        <v>446</v>
      </c>
      <c r="J79" s="101" t="s">
        <v>445</v>
      </c>
      <c r="K79" s="101" t="s">
        <v>447</v>
      </c>
      <c r="L79" s="101" t="s">
        <v>858</v>
      </c>
      <c r="M79" s="101" t="s">
        <v>859</v>
      </c>
    </row>
    <row r="80" spans="1:15" x14ac:dyDescent="0.25">
      <c r="A80" s="95" t="s">
        <v>847</v>
      </c>
      <c r="B80" s="5" t="s">
        <v>833</v>
      </c>
      <c r="C80" s="110">
        <f>'Reactor Batch 1'!C120*Cocción!D21/Fermentador!C86</f>
        <v>7.9648173355437466</v>
      </c>
      <c r="D80" s="95" t="s">
        <v>167</v>
      </c>
      <c r="E80" s="4" t="s">
        <v>434</v>
      </c>
      <c r="F80" s="95" t="s">
        <v>614</v>
      </c>
      <c r="H80" s="95" t="s">
        <v>440</v>
      </c>
      <c r="I80" s="110">
        <f>(C80-C95)*C86/D20</f>
        <v>411.92695440154972</v>
      </c>
      <c r="J80" s="110">
        <f>I80*D20</f>
        <v>74211.07120447015</v>
      </c>
      <c r="K80" s="95" t="s">
        <v>448</v>
      </c>
      <c r="L80" s="110">
        <f>I85*G57/G55</f>
        <v>12577.612371826415</v>
      </c>
      <c r="M80" s="110">
        <f>L80*D14</f>
        <v>579430.477790248</v>
      </c>
    </row>
    <row r="81" spans="1:13" x14ac:dyDescent="0.25">
      <c r="A81" s="95" t="s">
        <v>848</v>
      </c>
      <c r="B81" s="5" t="s">
        <v>834</v>
      </c>
      <c r="C81" s="110">
        <f>('Reactor Batch 1'!C121*Cocción!D21)/Fermentador!C86</f>
        <v>101.33487629789168</v>
      </c>
      <c r="D81" s="95" t="s">
        <v>167</v>
      </c>
      <c r="E81" s="4" t="s">
        <v>435</v>
      </c>
      <c r="F81" s="95" t="s">
        <v>614</v>
      </c>
      <c r="H81" s="95" t="s">
        <v>441</v>
      </c>
      <c r="I81" s="110">
        <f>(C81-C96)*C86/D21</f>
        <v>2758.2682865526212</v>
      </c>
      <c r="J81" s="110">
        <f>I81*D21</f>
        <v>944145.58054795931</v>
      </c>
      <c r="K81" s="95" t="s">
        <v>449</v>
      </c>
      <c r="L81" s="110">
        <f>I85*G58/G55</f>
        <v>2236.0143871636424</v>
      </c>
      <c r="M81" s="110">
        <f>L81*D15</f>
        <v>40282.469989069163</v>
      </c>
    </row>
    <row r="82" spans="1:13" x14ac:dyDescent="0.25">
      <c r="A82" s="95" t="s">
        <v>849</v>
      </c>
      <c r="B82" s="5" t="s">
        <v>835</v>
      </c>
      <c r="C82" s="110">
        <f>('Reactor Batch 1'!C122*Cocción!D21)/Fermentador!C86</f>
        <v>26.688382619782271</v>
      </c>
      <c r="D82" s="95" t="s">
        <v>167</v>
      </c>
      <c r="E82" s="4" t="s">
        <v>436</v>
      </c>
      <c r="F82" s="95" t="s">
        <v>614</v>
      </c>
      <c r="H82" s="95" t="s">
        <v>442</v>
      </c>
      <c r="I82" s="110">
        <f>(C82-C97)*C86/D22</f>
        <v>476.75714987770755</v>
      </c>
      <c r="J82" s="110">
        <f>I82*D22</f>
        <v>240493.94641286117</v>
      </c>
      <c r="K82" s="95" t="s">
        <v>231</v>
      </c>
      <c r="L82" s="110">
        <f>I85*G59/G55</f>
        <v>13456.049590024604</v>
      </c>
      <c r="M82" s="110">
        <f>L82*D16</f>
        <v>592194.01443218789</v>
      </c>
    </row>
    <row r="83" spans="1:13" x14ac:dyDescent="0.25">
      <c r="A83" s="95" t="s">
        <v>437</v>
      </c>
      <c r="B83" s="5" t="s">
        <v>836</v>
      </c>
      <c r="C83" s="110">
        <f>('Reactor Batch 1'!C123*Cocción!D21)/Fermentador!C86</f>
        <v>46.460427272546468</v>
      </c>
      <c r="D83" s="95" t="s">
        <v>167</v>
      </c>
      <c r="E83" s="4" t="s">
        <v>436</v>
      </c>
      <c r="F83" s="95" t="s">
        <v>614</v>
      </c>
      <c r="H83" s="95" t="s">
        <v>443</v>
      </c>
      <c r="I83" s="110">
        <f>((I80)+(I81*2)+(I82*3))*G56/G55</f>
        <v>714.84517664331656</v>
      </c>
      <c r="J83" s="110">
        <f>I83*18.04</f>
        <v>12895.80698664543</v>
      </c>
      <c r="K83" s="95" t="s">
        <v>193</v>
      </c>
      <c r="L83" s="110">
        <f>(G62*I85/G55)</f>
        <v>3992.8888235600148</v>
      </c>
      <c r="M83" s="110">
        <f>L83*D17</f>
        <v>101219.73167724638</v>
      </c>
    </row>
    <row r="84" spans="1:13" x14ac:dyDescent="0.25">
      <c r="A84" s="95" t="s">
        <v>850</v>
      </c>
      <c r="B84" s="5" t="s">
        <v>837</v>
      </c>
      <c r="C84" s="110">
        <v>0</v>
      </c>
      <c r="D84" s="95" t="s">
        <v>167</v>
      </c>
      <c r="E84" s="4"/>
      <c r="F84" s="6" t="s">
        <v>59</v>
      </c>
      <c r="H84" s="95" t="s">
        <v>444</v>
      </c>
      <c r="I84" s="110">
        <f>((I80)+(I81*2)+(I82*3))*G56/G55</f>
        <v>714.84517664331656</v>
      </c>
      <c r="J84" s="110">
        <f>I84*61.01</f>
        <v>43612.70422700874</v>
      </c>
      <c r="K84" s="6" t="s">
        <v>59</v>
      </c>
      <c r="L84" s="6" t="s">
        <v>59</v>
      </c>
      <c r="M84" s="6" t="s">
        <v>59</v>
      </c>
    </row>
    <row r="85" spans="1:13" x14ac:dyDescent="0.25">
      <c r="A85" s="95" t="s">
        <v>839</v>
      </c>
      <c r="B85" s="5" t="s">
        <v>838</v>
      </c>
      <c r="C85" s="110">
        <v>3</v>
      </c>
      <c r="D85" s="95" t="s">
        <v>167</v>
      </c>
      <c r="E85" s="4"/>
      <c r="F85" s="95" t="s">
        <v>614</v>
      </c>
      <c r="H85" s="101" t="s">
        <v>450</v>
      </c>
      <c r="I85" s="136">
        <f>I80+((D21/D20)*I81)+((D22/D20)*I82)</f>
        <v>6987.5624287924538</v>
      </c>
      <c r="J85" s="101" t="s">
        <v>212</v>
      </c>
      <c r="K85" s="104"/>
      <c r="L85" s="94"/>
      <c r="M85" s="94"/>
    </row>
    <row r="86" spans="1:13" x14ac:dyDescent="0.25">
      <c r="A86" s="95" t="s">
        <v>841</v>
      </c>
      <c r="B86" s="5" t="s">
        <v>840</v>
      </c>
      <c r="C86" s="110">
        <f>Whirlpool!G15</f>
        <v>9317.3600947878949</v>
      </c>
      <c r="D86" s="95" t="s">
        <v>192</v>
      </c>
      <c r="E86" s="4"/>
      <c r="F86" s="6" t="s">
        <v>59</v>
      </c>
      <c r="H86" s="31" t="s">
        <v>454</v>
      </c>
      <c r="I86" s="150">
        <f>(J80+J81+J82+J83+J84-M80-M81-M82-M83)*-1</f>
        <v>-2232.4154901931906</v>
      </c>
      <c r="J86" s="136">
        <f>I86*100/SUM(J80:J84)</f>
        <v>-0.16971908844324957</v>
      </c>
      <c r="L86" s="94"/>
      <c r="M86" s="94"/>
    </row>
    <row r="87" spans="1:13" x14ac:dyDescent="0.25">
      <c r="A87" s="95" t="s">
        <v>791</v>
      </c>
      <c r="B87" s="5" t="s">
        <v>842</v>
      </c>
      <c r="C87" s="110">
        <f>C86*D32/1000</f>
        <v>10392.551303384611</v>
      </c>
      <c r="D87" s="95" t="s">
        <v>199</v>
      </c>
      <c r="E87" s="4"/>
      <c r="F87" s="6" t="s">
        <v>59</v>
      </c>
    </row>
    <row r="88" spans="1:13" ht="21" x14ac:dyDescent="0.35">
      <c r="A88" s="95" t="s">
        <v>852</v>
      </c>
      <c r="B88" s="5" t="s">
        <v>843</v>
      </c>
      <c r="C88" s="110">
        <f>C85*C86/1000</f>
        <v>27.952080284363685</v>
      </c>
      <c r="D88" s="95" t="s">
        <v>199</v>
      </c>
      <c r="E88" s="4"/>
      <c r="F88" s="6" t="s">
        <v>59</v>
      </c>
      <c r="G88" s="132" t="s">
        <v>861</v>
      </c>
    </row>
    <row r="89" spans="1:13" ht="15.75" customHeight="1" x14ac:dyDescent="0.25">
      <c r="A89" s="95" t="s">
        <v>851</v>
      </c>
      <c r="B89" s="5" t="s">
        <v>844</v>
      </c>
      <c r="C89" s="110">
        <f>J84/1000</f>
        <v>43.612704227008741</v>
      </c>
      <c r="D89" s="95" t="s">
        <v>199</v>
      </c>
      <c r="E89" s="4"/>
      <c r="F89" s="6" t="s">
        <v>59</v>
      </c>
      <c r="H89" s="94" t="s">
        <v>862</v>
      </c>
      <c r="I89" s="94" t="s">
        <v>486</v>
      </c>
      <c r="J89" s="94" t="s">
        <v>487</v>
      </c>
      <c r="K89" s="29" t="s">
        <v>863</v>
      </c>
    </row>
    <row r="90" spans="1:13" ht="15.75" customHeight="1" x14ac:dyDescent="0.25">
      <c r="A90" s="95" t="s">
        <v>853</v>
      </c>
      <c r="B90" s="5" t="s">
        <v>845</v>
      </c>
      <c r="C90" s="110">
        <f>J83/1000</f>
        <v>12.895806986645431</v>
      </c>
      <c r="D90" s="95" t="s">
        <v>199</v>
      </c>
      <c r="E90" s="4"/>
      <c r="F90" s="6" t="s">
        <v>59</v>
      </c>
      <c r="H90" s="110">
        <f>M80/((C86*0.798)*10)</f>
        <v>7.7930159212485233</v>
      </c>
      <c r="I90" s="110">
        <f>C98*C86/1000</f>
        <v>435.89405731446209</v>
      </c>
      <c r="J90" s="110">
        <f>(Fermentador!C83*Fermentador!C86/1000)+((Fermentador!C97)*Fermentador!C86/1000)+(Fermentador!C96)*Fermentador!C86/1000</f>
        <v>441.08780793943299</v>
      </c>
      <c r="K90" s="149">
        <f>I86*100/SUM(J80:J84)</f>
        <v>-0.16971908844324957</v>
      </c>
    </row>
    <row r="91" spans="1:13" ht="15.75" customHeight="1" x14ac:dyDescent="0.25">
      <c r="A91" s="95" t="s">
        <v>865</v>
      </c>
      <c r="B91" s="5" t="s">
        <v>846</v>
      </c>
      <c r="C91" s="110">
        <f>(C87+C88+C89+C90-I90)/(D33*D32/1000)</f>
        <v>9713.6852840008323</v>
      </c>
      <c r="D91" s="95" t="s">
        <v>192</v>
      </c>
      <c r="E91" s="4"/>
      <c r="F91" s="6" t="s">
        <v>59</v>
      </c>
    </row>
    <row r="92" spans="1:13" ht="15.75" customHeight="1" x14ac:dyDescent="0.25">
      <c r="F92" s="22"/>
    </row>
    <row r="93" spans="1:13" x14ac:dyDescent="0.25">
      <c r="A93" s="108" t="s">
        <v>179</v>
      </c>
      <c r="B93" s="23" t="s">
        <v>62</v>
      </c>
      <c r="C93" s="23" t="s">
        <v>45</v>
      </c>
      <c r="D93" s="23" t="s">
        <v>46</v>
      </c>
      <c r="F93" s="22"/>
    </row>
    <row r="94" spans="1:13" x14ac:dyDescent="0.25">
      <c r="A94" s="95" t="s">
        <v>180</v>
      </c>
      <c r="B94" s="95" t="s">
        <v>132</v>
      </c>
      <c r="C94" s="110">
        <v>350</v>
      </c>
      <c r="D94" s="95" t="s">
        <v>181</v>
      </c>
      <c r="F94" s="22"/>
    </row>
    <row r="95" spans="1:13" x14ac:dyDescent="0.25">
      <c r="A95" s="95" t="s">
        <v>867</v>
      </c>
      <c r="B95" s="95" t="s">
        <v>854</v>
      </c>
      <c r="C95" s="110">
        <v>0</v>
      </c>
      <c r="D95" s="95" t="s">
        <v>167</v>
      </c>
      <c r="F95" s="22"/>
    </row>
    <row r="96" spans="1:13" x14ac:dyDescent="0.25">
      <c r="A96" s="95" t="s">
        <v>868</v>
      </c>
      <c r="B96" s="95" t="s">
        <v>855</v>
      </c>
      <c r="C96" s="110">
        <v>3.0000000000000001E-3</v>
      </c>
      <c r="D96" s="95" t="s">
        <v>167</v>
      </c>
      <c r="F96" s="22"/>
    </row>
    <row r="97" spans="1:13" x14ac:dyDescent="0.25">
      <c r="A97" s="95" t="s">
        <v>869</v>
      </c>
      <c r="B97" s="95" t="s">
        <v>856</v>
      </c>
      <c r="C97" s="110">
        <v>0.877</v>
      </c>
      <c r="D97" s="95" t="s">
        <v>167</v>
      </c>
      <c r="F97" s="22"/>
    </row>
    <row r="98" spans="1:13" x14ac:dyDescent="0.25">
      <c r="A98" s="95" t="s">
        <v>870</v>
      </c>
      <c r="B98" s="95" t="s">
        <v>857</v>
      </c>
      <c r="C98" s="110">
        <v>46.783000000000001</v>
      </c>
      <c r="D98" s="95" t="s">
        <v>167</v>
      </c>
      <c r="F98" s="23"/>
    </row>
    <row r="99" spans="1:13" x14ac:dyDescent="0.25">
      <c r="A99" s="99"/>
      <c r="B99" s="99"/>
      <c r="C99" s="72"/>
      <c r="D99" s="99"/>
      <c r="F99" s="108"/>
      <c r="G99" s="101"/>
    </row>
    <row r="100" spans="1:13" ht="21" x14ac:dyDescent="0.35">
      <c r="A100" s="99"/>
      <c r="B100" s="99"/>
      <c r="C100" s="72"/>
      <c r="D100" s="99"/>
      <c r="F100" s="108"/>
      <c r="G100" s="132" t="s">
        <v>438</v>
      </c>
    </row>
    <row r="101" spans="1:13" ht="23.25" x14ac:dyDescent="0.35">
      <c r="A101" s="135" t="s">
        <v>224</v>
      </c>
      <c r="B101" s="23"/>
      <c r="C101" s="24"/>
      <c r="D101" s="23"/>
      <c r="F101" s="22"/>
    </row>
    <row r="102" spans="1:13" x14ac:dyDescent="0.25">
      <c r="A102" s="99"/>
      <c r="B102" s="16"/>
      <c r="C102" s="22"/>
      <c r="D102" s="16"/>
      <c r="F102" s="22"/>
    </row>
    <row r="103" spans="1:13" x14ac:dyDescent="0.25">
      <c r="A103" s="103" t="s">
        <v>433</v>
      </c>
      <c r="B103" s="103" t="s">
        <v>1</v>
      </c>
      <c r="C103" s="103" t="s">
        <v>45</v>
      </c>
      <c r="D103" s="103" t="s">
        <v>46</v>
      </c>
      <c r="E103" s="103" t="s">
        <v>157</v>
      </c>
      <c r="F103" s="103" t="s">
        <v>61</v>
      </c>
      <c r="H103" s="101" t="s">
        <v>439</v>
      </c>
      <c r="I103" s="94" t="s">
        <v>446</v>
      </c>
      <c r="J103" s="94" t="s">
        <v>445</v>
      </c>
      <c r="K103" s="94" t="s">
        <v>447</v>
      </c>
      <c r="L103" s="94" t="s">
        <v>858</v>
      </c>
      <c r="M103" s="94" t="s">
        <v>859</v>
      </c>
    </row>
    <row r="104" spans="1:13" x14ac:dyDescent="0.25">
      <c r="A104" s="95" t="s">
        <v>847</v>
      </c>
      <c r="B104" s="5" t="s">
        <v>833</v>
      </c>
      <c r="C104" s="110">
        <f>('Reactor Batch 1'!C145*Cocción!D40)/Fermentador!C110</f>
        <v>4.802957688732242</v>
      </c>
      <c r="D104" s="95" t="s">
        <v>167</v>
      </c>
      <c r="F104" s="95" t="s">
        <v>614</v>
      </c>
      <c r="H104" s="95" t="s">
        <v>440</v>
      </c>
      <c r="I104" s="110">
        <f>(C104-C120)*C110/D20</f>
        <v>306.51417092633682</v>
      </c>
      <c r="J104" s="110">
        <f>I104*D20</f>
        <v>55220.336325988043</v>
      </c>
      <c r="K104" s="95" t="s">
        <v>448</v>
      </c>
      <c r="L104" s="110">
        <f>I109*G57/G55</f>
        <v>10174.804128488799</v>
      </c>
      <c r="M104" s="110">
        <f>L104*D14</f>
        <v>468736.94651287334</v>
      </c>
    </row>
    <row r="105" spans="1:13" x14ac:dyDescent="0.25">
      <c r="A105" s="95" t="s">
        <v>848</v>
      </c>
      <c r="B105" s="5" t="s">
        <v>834</v>
      </c>
      <c r="C105" s="110">
        <f>('Reactor Batch 1'!C146*Cocción!D40)/Fermentador!C110</f>
        <v>72.016340349087315</v>
      </c>
      <c r="D105" s="95" t="s">
        <v>167</v>
      </c>
      <c r="E105" s="4" t="s">
        <v>434</v>
      </c>
      <c r="F105" s="95" t="s">
        <v>614</v>
      </c>
      <c r="H105" s="95" t="s">
        <v>441</v>
      </c>
      <c r="I105" s="110">
        <f>(C105-C121)*C110/D21</f>
        <v>2399.5249162388532</v>
      </c>
      <c r="J105" s="110">
        <f>I105*D21</f>
        <v>821348.9804913525</v>
      </c>
      <c r="K105" s="95" t="s">
        <v>449</v>
      </c>
      <c r="L105" s="110">
        <f>I109*G58/G55</f>
        <v>1808.8495451517292</v>
      </c>
      <c r="M105" s="110">
        <f>L105*D15</f>
        <v>32586.967210771949</v>
      </c>
    </row>
    <row r="106" spans="1:13" x14ac:dyDescent="0.25">
      <c r="A106" s="95" t="s">
        <v>849</v>
      </c>
      <c r="B106" s="5" t="s">
        <v>835</v>
      </c>
      <c r="C106" s="110">
        <f>'Reactor Batch 1'!C147*Cocción!D40/Fermentador!C110</f>
        <v>17.853123179395151</v>
      </c>
      <c r="D106" s="95" t="s">
        <v>167</v>
      </c>
      <c r="E106" s="4" t="s">
        <v>435</v>
      </c>
      <c r="F106" s="95" t="s">
        <v>614</v>
      </c>
      <c r="H106" s="95" t="s">
        <v>442</v>
      </c>
      <c r="I106" s="110">
        <f>(C106-C122)*C110/D22</f>
        <v>281.09029893216729</v>
      </c>
      <c r="J106" s="110">
        <f>I106*D22</f>
        <v>141792.34712244567</v>
      </c>
      <c r="K106" s="95" t="s">
        <v>231</v>
      </c>
      <c r="L106" s="110">
        <f>I109*G59/G55</f>
        <v>10885.426015227964</v>
      </c>
      <c r="M106" s="110">
        <f>L106*44</f>
        <v>478958.74467003043</v>
      </c>
    </row>
    <row r="107" spans="1:13" x14ac:dyDescent="0.25">
      <c r="A107" s="95" t="s">
        <v>437</v>
      </c>
      <c r="B107" s="5" t="s">
        <v>836</v>
      </c>
      <c r="C107" s="110">
        <f>'Reactor Batch 1'!C148*Cocción!D40/Fermentador!C110</f>
        <v>27.376778178343862</v>
      </c>
      <c r="D107" s="95" t="s">
        <v>167</v>
      </c>
      <c r="E107" s="4" t="s">
        <v>436</v>
      </c>
      <c r="F107" s="95" t="s">
        <v>614</v>
      </c>
      <c r="H107" s="95" t="s">
        <v>443</v>
      </c>
      <c r="I107" s="110">
        <f>((I104)+(I105*2)+(I106*3))*G56/G55</f>
        <v>577.88409940924146</v>
      </c>
      <c r="J107" s="110">
        <f>I107*18.04</f>
        <v>10425.029153342715</v>
      </c>
      <c r="K107" s="95" t="s">
        <v>193</v>
      </c>
      <c r="L107" s="110">
        <f>G62*I109/G55</f>
        <v>3230.093318630054</v>
      </c>
      <c r="M107" s="110">
        <f>L107*25.35</f>
        <v>81882.86562727188</v>
      </c>
    </row>
    <row r="108" spans="1:13" x14ac:dyDescent="0.25">
      <c r="A108" s="95" t="s">
        <v>850</v>
      </c>
      <c r="B108" s="5" t="s">
        <v>837</v>
      </c>
      <c r="C108" s="110">
        <v>0</v>
      </c>
      <c r="D108" s="95" t="s">
        <v>167</v>
      </c>
      <c r="E108" s="4" t="s">
        <v>436</v>
      </c>
      <c r="F108" s="6" t="s">
        <v>59</v>
      </c>
      <c r="H108" s="95" t="s">
        <v>444</v>
      </c>
      <c r="I108" s="110">
        <f>((I104)+(I105*2)+(I106*3))*G56/G55</f>
        <v>577.88409940924146</v>
      </c>
      <c r="J108" s="110">
        <f>I108*61.01</f>
        <v>35256.708904957821</v>
      </c>
      <c r="K108" s="95"/>
      <c r="L108" s="95"/>
      <c r="M108" s="95"/>
    </row>
    <row r="109" spans="1:13" x14ac:dyDescent="0.25">
      <c r="A109" s="95" t="s">
        <v>839</v>
      </c>
      <c r="B109" s="5" t="s">
        <v>838</v>
      </c>
      <c r="C109" s="110">
        <v>3</v>
      </c>
      <c r="D109" s="95" t="s">
        <v>167</v>
      </c>
      <c r="E109" s="4"/>
      <c r="F109" s="95" t="s">
        <v>614</v>
      </c>
      <c r="H109" s="139" t="s">
        <v>450</v>
      </c>
      <c r="I109" s="94">
        <f>I104+(D21*I105/D20)+(D22/D20*I106)</f>
        <v>5652.6689602715551</v>
      </c>
      <c r="J109" s="101" t="s">
        <v>212</v>
      </c>
      <c r="K109" s="104"/>
      <c r="L109" s="104"/>
      <c r="M109" s="104"/>
    </row>
    <row r="110" spans="1:13" x14ac:dyDescent="0.25">
      <c r="A110" s="95" t="s">
        <v>841</v>
      </c>
      <c r="B110" s="5" t="s">
        <v>840</v>
      </c>
      <c r="C110" s="110">
        <f>11497.15236</f>
        <v>11497.15236</v>
      </c>
      <c r="D110" s="95" t="s">
        <v>192</v>
      </c>
      <c r="E110" s="4"/>
      <c r="F110" s="6" t="s">
        <v>59</v>
      </c>
      <c r="H110" s="281"/>
      <c r="I110" s="124" t="s">
        <v>199</v>
      </c>
      <c r="J110" s="124"/>
      <c r="K110" s="281"/>
      <c r="L110" s="281"/>
      <c r="M110" s="281"/>
    </row>
    <row r="111" spans="1:13" x14ac:dyDescent="0.25">
      <c r="A111" s="95" t="s">
        <v>791</v>
      </c>
      <c r="B111" s="5" t="s">
        <v>842</v>
      </c>
      <c r="C111" s="110">
        <f>C110*D34/1000</f>
        <v>12383.875945513475</v>
      </c>
      <c r="D111" s="95" t="s">
        <v>199</v>
      </c>
      <c r="E111" s="4"/>
      <c r="F111" s="6" t="s">
        <v>59</v>
      </c>
      <c r="H111" s="31" t="s">
        <v>454</v>
      </c>
      <c r="I111" s="94">
        <f>(J104+J105+J106+J107+J108-M104-M105-M106-M107)/1000</f>
        <v>1.8778779771392582</v>
      </c>
      <c r="J111" s="94">
        <f>I111*100/SUM(J104:J110)</f>
        <v>1.7648509201907862E-4</v>
      </c>
    </row>
    <row r="112" spans="1:13" ht="21" x14ac:dyDescent="0.35">
      <c r="A112" s="95" t="s">
        <v>852</v>
      </c>
      <c r="B112" s="5" t="s">
        <v>843</v>
      </c>
      <c r="C112" s="110">
        <f>C109*C110/1000</f>
        <v>34.491457080000004</v>
      </c>
      <c r="D112" s="95" t="s">
        <v>199</v>
      </c>
      <c r="E112" s="4"/>
      <c r="F112" s="6" t="s">
        <v>59</v>
      </c>
      <c r="G112" s="132" t="s">
        <v>861</v>
      </c>
      <c r="L112" s="17"/>
    </row>
    <row r="113" spans="1:11" x14ac:dyDescent="0.25">
      <c r="A113" s="95" t="s">
        <v>851</v>
      </c>
      <c r="B113" s="5" t="s">
        <v>844</v>
      </c>
      <c r="C113" s="110">
        <f>J108/1000</f>
        <v>35.256708904957819</v>
      </c>
      <c r="D113" s="95" t="s">
        <v>199</v>
      </c>
      <c r="E113" s="4"/>
      <c r="F113" s="6" t="s">
        <v>59</v>
      </c>
      <c r="H113" s="42" t="s">
        <v>455</v>
      </c>
      <c r="I113" s="114" t="s">
        <v>486</v>
      </c>
      <c r="J113" s="114" t="s">
        <v>487</v>
      </c>
      <c r="K113" s="142" t="s">
        <v>866</v>
      </c>
    </row>
    <row r="114" spans="1:11" x14ac:dyDescent="0.25">
      <c r="A114" s="95" t="s">
        <v>853</v>
      </c>
      <c r="B114" s="5" t="s">
        <v>845</v>
      </c>
      <c r="C114" s="110">
        <f>J107/1000</f>
        <v>10.425029153342715</v>
      </c>
      <c r="D114" s="95" t="s">
        <v>199</v>
      </c>
      <c r="E114" s="4"/>
      <c r="F114" s="6" t="s">
        <v>59</v>
      </c>
      <c r="H114" s="147">
        <f>M104*1000/(C110*1000*0.798*10)</f>
        <v>5.1090012456293348</v>
      </c>
      <c r="I114" s="124">
        <f>C123*C110/1000</f>
        <v>467.84787240930001</v>
      </c>
      <c r="J114" s="124">
        <f>(Fermentador!C107*Fermentador!C110/1000)+((Fermentador!C122)*Fermentador!C110/1000)+(Fermentador!C121)*Fermentador!C110/1000</f>
        <v>384.8565769269706</v>
      </c>
      <c r="K114" s="148">
        <f>I111*100/SUM(J104:J110)</f>
        <v>1.7648509201907862E-4</v>
      </c>
    </row>
    <row r="115" spans="1:11" x14ac:dyDescent="0.25">
      <c r="A115" s="95" t="s">
        <v>864</v>
      </c>
      <c r="B115" s="5" t="s">
        <v>846</v>
      </c>
      <c r="C115" s="110">
        <f>(C111+C112+C113+C114-I114)/(D34*D35/1000)</f>
        <v>11652.443182431354</v>
      </c>
      <c r="D115" s="95" t="s">
        <v>192</v>
      </c>
      <c r="E115" s="4"/>
      <c r="F115" s="6" t="s">
        <v>59</v>
      </c>
    </row>
    <row r="116" spans="1:11" x14ac:dyDescent="0.25">
      <c r="A116" s="92"/>
      <c r="B116" s="19"/>
      <c r="C116" s="92"/>
      <c r="D116" s="92"/>
    </row>
    <row r="118" spans="1:11" x14ac:dyDescent="0.25">
      <c r="A118" s="108" t="s">
        <v>179</v>
      </c>
      <c r="B118" s="23" t="s">
        <v>62</v>
      </c>
      <c r="C118" s="23" t="s">
        <v>45</v>
      </c>
      <c r="D118" s="23" t="s">
        <v>46</v>
      </c>
      <c r="F118" s="22"/>
    </row>
    <row r="119" spans="1:11" x14ac:dyDescent="0.25">
      <c r="A119" s="95" t="s">
        <v>180</v>
      </c>
      <c r="B119" s="95" t="s">
        <v>132</v>
      </c>
      <c r="C119" s="110">
        <v>250</v>
      </c>
      <c r="D119" s="95" t="s">
        <v>181</v>
      </c>
      <c r="F119" s="22"/>
    </row>
    <row r="120" spans="1:11" x14ac:dyDescent="0.25">
      <c r="A120" s="95" t="s">
        <v>867</v>
      </c>
      <c r="B120" s="95" t="s">
        <v>854</v>
      </c>
      <c r="C120" s="110">
        <v>0</v>
      </c>
      <c r="D120" s="95" t="s">
        <v>167</v>
      </c>
      <c r="F120" s="22"/>
    </row>
    <row r="121" spans="1:11" x14ac:dyDescent="0.25">
      <c r="A121" s="95" t="s">
        <v>868</v>
      </c>
      <c r="B121" s="95" t="s">
        <v>855</v>
      </c>
      <c r="C121" s="110">
        <v>0.57699999999999996</v>
      </c>
      <c r="D121" s="95" t="s">
        <v>167</v>
      </c>
      <c r="F121" s="22"/>
      <c r="G121" s="22"/>
    </row>
    <row r="122" spans="1:11" x14ac:dyDescent="0.25">
      <c r="A122" s="95" t="s">
        <v>869</v>
      </c>
      <c r="B122" s="95" t="s">
        <v>856</v>
      </c>
      <c r="C122" s="110">
        <v>5.5202999999999998</v>
      </c>
      <c r="D122" s="95" t="s">
        <v>167</v>
      </c>
      <c r="F122" s="22"/>
      <c r="G122" s="22"/>
    </row>
    <row r="123" spans="1:11" x14ac:dyDescent="0.25">
      <c r="A123" s="95" t="s">
        <v>870</v>
      </c>
      <c r="B123" s="95" t="s">
        <v>857</v>
      </c>
      <c r="C123" s="110">
        <v>40.692500000000003</v>
      </c>
      <c r="D123" s="95" t="s">
        <v>167</v>
      </c>
      <c r="F123" s="22"/>
    </row>
    <row r="124" spans="1:11" x14ac:dyDescent="0.25">
      <c r="F124" s="23"/>
    </row>
    <row r="126" spans="1:11" ht="23.25" x14ac:dyDescent="0.35">
      <c r="A126" s="135" t="s">
        <v>871</v>
      </c>
      <c r="G126" s="132" t="s">
        <v>438</v>
      </c>
    </row>
    <row r="127" spans="1:11" x14ac:dyDescent="0.25">
      <c r="B127" s="23"/>
      <c r="C127" s="24"/>
      <c r="D127" s="23"/>
      <c r="F127" s="22"/>
    </row>
    <row r="128" spans="1:11" x14ac:dyDescent="0.25">
      <c r="A128" s="99"/>
      <c r="B128" s="16"/>
      <c r="C128" s="22"/>
      <c r="D128" s="16"/>
      <c r="E128" s="22"/>
      <c r="F128" s="22"/>
    </row>
    <row r="129" spans="1:13" x14ac:dyDescent="0.25">
      <c r="A129" s="113" t="s">
        <v>433</v>
      </c>
      <c r="B129" s="122" t="s">
        <v>1</v>
      </c>
      <c r="C129" s="122" t="s">
        <v>46</v>
      </c>
      <c r="D129" s="122" t="s">
        <v>45</v>
      </c>
      <c r="E129" s="103" t="s">
        <v>157</v>
      </c>
      <c r="F129" s="102" t="s">
        <v>61</v>
      </c>
      <c r="H129" s="101" t="s">
        <v>439</v>
      </c>
      <c r="I129" s="94" t="s">
        <v>446</v>
      </c>
      <c r="J129" s="94" t="s">
        <v>445</v>
      </c>
      <c r="K129" s="94" t="s">
        <v>447</v>
      </c>
      <c r="L129" s="94" t="s">
        <v>875</v>
      </c>
      <c r="M129" s="94" t="s">
        <v>874</v>
      </c>
    </row>
    <row r="130" spans="1:13" x14ac:dyDescent="0.25">
      <c r="A130" s="95" t="s">
        <v>847</v>
      </c>
      <c r="B130" s="5" t="s">
        <v>833</v>
      </c>
      <c r="C130" s="110">
        <f>'Reactor Batch 1'!C169*Cocción!D59/Fermentador!C136</f>
        <v>4.2091499796214222</v>
      </c>
      <c r="D130" s="95" t="s">
        <v>167</v>
      </c>
      <c r="E130" s="75"/>
      <c r="F130" s="95" t="s">
        <v>614</v>
      </c>
      <c r="H130" s="95" t="s">
        <v>440</v>
      </c>
      <c r="I130" s="110">
        <f>(C130-C146)*C136/D20</f>
        <v>219.26710272602784</v>
      </c>
      <c r="J130" s="110">
        <f>I130*D20</f>
        <v>39502.262232000001</v>
      </c>
      <c r="K130" s="95" t="s">
        <v>448</v>
      </c>
      <c r="L130" s="110">
        <f>I135*G57/G55</f>
        <v>7370.3183092998906</v>
      </c>
      <c r="M130" s="110">
        <f>L130*D14</f>
        <v>339538.77200015105</v>
      </c>
    </row>
    <row r="131" spans="1:13" x14ac:dyDescent="0.25">
      <c r="A131" s="95" t="s">
        <v>848</v>
      </c>
      <c r="B131" s="5" t="s">
        <v>834</v>
      </c>
      <c r="C131" s="110">
        <f>'Reactor Batch 1'!C170*Cocción!D59/Fermentador!C136</f>
        <v>65.01308778324227</v>
      </c>
      <c r="D131" s="95" t="s">
        <v>167</v>
      </c>
      <c r="E131" s="4" t="s">
        <v>434</v>
      </c>
      <c r="F131" s="95" t="s">
        <v>614</v>
      </c>
      <c r="H131" s="95" t="s">
        <v>441</v>
      </c>
      <c r="I131" s="110">
        <f>(C131-C147)*C136/D21</f>
        <v>1759.2077630153979</v>
      </c>
      <c r="J131" s="110">
        <f>I131*D21</f>
        <v>602170.66005300009</v>
      </c>
      <c r="K131" s="95" t="s">
        <v>449</v>
      </c>
      <c r="L131" s="110">
        <f>I135*G58/G55</f>
        <v>1310.2755348451765</v>
      </c>
      <c r="M131" s="110">
        <f>L131*18</f>
        <v>23584.959627213175</v>
      </c>
    </row>
    <row r="132" spans="1:13" x14ac:dyDescent="0.25">
      <c r="A132" s="95" t="s">
        <v>849</v>
      </c>
      <c r="B132" s="5" t="s">
        <v>835</v>
      </c>
      <c r="C132" s="110">
        <f>'Reactor Batch 1'!C171*Cocción!D59/Fermentador!C136</f>
        <v>15.951955066753829</v>
      </c>
      <c r="D132" s="95" t="s">
        <v>167</v>
      </c>
      <c r="E132" s="4" t="s">
        <v>435</v>
      </c>
      <c r="F132" s="95" t="s">
        <v>614</v>
      </c>
      <c r="H132" s="95" t="s">
        <v>442</v>
      </c>
      <c r="I132" s="110">
        <f>(C132-C148)*C136/D22</f>
        <v>190.30574700705935</v>
      </c>
      <c r="J132" s="110">
        <f>I132*D22</f>
        <v>95997.260103000008</v>
      </c>
      <c r="K132" s="95" t="s">
        <v>231</v>
      </c>
      <c r="L132" s="110">
        <f>I135*G59/G55</f>
        <v>7885.0711671124755</v>
      </c>
      <c r="M132" s="110">
        <f>L132*44</f>
        <v>346943.1313529489</v>
      </c>
    </row>
    <row r="133" spans="1:13" x14ac:dyDescent="0.25">
      <c r="A133" s="95" t="s">
        <v>437</v>
      </c>
      <c r="B133" s="5" t="s">
        <v>836</v>
      </c>
      <c r="C133" s="110">
        <f>'Reactor Batch 1'!C172*Cocción!D59/Fermentador!C136</f>
        <v>23.878568439895986</v>
      </c>
      <c r="D133" s="95" t="s">
        <v>167</v>
      </c>
      <c r="E133" s="4" t="s">
        <v>436</v>
      </c>
      <c r="F133" s="95" t="s">
        <v>614</v>
      </c>
      <c r="H133" s="95" t="s">
        <v>443</v>
      </c>
      <c r="I133" s="110">
        <f>((I130)+(I131*2)+(I132*3))*G56/G55</f>
        <v>418.54773198992257</v>
      </c>
      <c r="J133" s="110">
        <f>I133*18.04</f>
        <v>7550.6010850982029</v>
      </c>
      <c r="K133" s="95" t="s">
        <v>193</v>
      </c>
      <c r="L133" s="110">
        <f>G62*I135/G55</f>
        <v>2339.7812504703434</v>
      </c>
      <c r="M133" s="110">
        <f>L133*25.35</f>
        <v>59313.454699423208</v>
      </c>
    </row>
    <row r="134" spans="1:13" x14ac:dyDescent="0.25">
      <c r="A134" s="95" t="s">
        <v>850</v>
      </c>
      <c r="B134" s="5" t="s">
        <v>837</v>
      </c>
      <c r="C134" s="110">
        <v>0</v>
      </c>
      <c r="D134" s="95" t="s">
        <v>167</v>
      </c>
      <c r="E134" s="4" t="s">
        <v>436</v>
      </c>
      <c r="F134" s="6" t="s">
        <v>59</v>
      </c>
      <c r="H134" s="95" t="s">
        <v>444</v>
      </c>
      <c r="I134" s="110">
        <f>((I130)+(I131*2)+(H19*3))*G56/G55</f>
        <v>363.08746099574694</v>
      </c>
      <c r="J134" s="110">
        <f>I134*61.01</f>
        <v>22151.965995350522</v>
      </c>
      <c r="K134" s="4"/>
      <c r="L134" s="4"/>
      <c r="M134" s="4"/>
    </row>
    <row r="135" spans="1:13" x14ac:dyDescent="0.25">
      <c r="A135" s="95" t="s">
        <v>839</v>
      </c>
      <c r="B135" s="5" t="s">
        <v>838</v>
      </c>
      <c r="C135" s="110">
        <v>3</v>
      </c>
      <c r="D135" s="95" t="s">
        <v>167</v>
      </c>
      <c r="E135" s="4"/>
      <c r="F135" s="95" t="s">
        <v>614</v>
      </c>
      <c r="H135" s="139" t="s">
        <v>450</v>
      </c>
      <c r="I135" s="94">
        <f>I130+(D21*I131/D20)+(D22*I132/D20)</f>
        <v>4094.6212829443839</v>
      </c>
      <c r="J135" s="124" t="s">
        <v>194</v>
      </c>
      <c r="K135" s="104"/>
      <c r="L135" s="104"/>
      <c r="M135" s="104"/>
    </row>
    <row r="136" spans="1:13" x14ac:dyDescent="0.25">
      <c r="A136" s="95" t="s">
        <v>841</v>
      </c>
      <c r="B136" s="5" t="s">
        <v>840</v>
      </c>
      <c r="C136" s="110">
        <v>9384.8549999999996</v>
      </c>
      <c r="D136" s="95" t="s">
        <v>192</v>
      </c>
      <c r="E136" s="4"/>
      <c r="F136" s="6" t="s">
        <v>59</v>
      </c>
      <c r="H136" s="31" t="s">
        <v>454</v>
      </c>
      <c r="I136" s="136">
        <f>(J130+J131+J132+J133+J134-M130-M131-M132-M133)*-1</f>
        <v>2007.5682112875365</v>
      </c>
      <c r="J136" s="136">
        <f>I136*100/SUM(J130:J135)</f>
        <v>0.26161578094585169</v>
      </c>
    </row>
    <row r="137" spans="1:13" x14ac:dyDescent="0.25">
      <c r="A137" s="95" t="s">
        <v>791</v>
      </c>
      <c r="B137" s="5" t="s">
        <v>842</v>
      </c>
      <c r="C137" s="110">
        <f>C136*D36/1000</f>
        <v>10051.822630774319</v>
      </c>
      <c r="D137" s="95" t="s">
        <v>199</v>
      </c>
      <c r="E137" s="4"/>
      <c r="F137" s="6" t="s">
        <v>59</v>
      </c>
    </row>
    <row r="138" spans="1:13" x14ac:dyDescent="0.25">
      <c r="A138" s="95" t="s">
        <v>852</v>
      </c>
      <c r="B138" s="5" t="s">
        <v>843</v>
      </c>
      <c r="C138" s="110">
        <f>C135*C136/1000</f>
        <v>28.154564999999998</v>
      </c>
      <c r="D138" s="95" t="s">
        <v>199</v>
      </c>
      <c r="E138" s="4"/>
      <c r="F138" s="6" t="s">
        <v>59</v>
      </c>
    </row>
    <row r="139" spans="1:13" x14ac:dyDescent="0.25">
      <c r="A139" s="95" t="s">
        <v>851</v>
      </c>
      <c r="B139" s="5" t="s">
        <v>844</v>
      </c>
      <c r="C139" s="110">
        <f>J134/1000</f>
        <v>22.151965995350523</v>
      </c>
      <c r="D139" s="95" t="s">
        <v>199</v>
      </c>
      <c r="E139" s="4"/>
      <c r="F139" s="6" t="s">
        <v>59</v>
      </c>
      <c r="H139" s="42" t="s">
        <v>455</v>
      </c>
      <c r="I139" s="114" t="s">
        <v>486</v>
      </c>
      <c r="J139" s="114" t="s">
        <v>487</v>
      </c>
      <c r="K139" s="142" t="s">
        <v>876</v>
      </c>
    </row>
    <row r="140" spans="1:13" x14ac:dyDescent="0.25">
      <c r="A140" s="95" t="s">
        <v>853</v>
      </c>
      <c r="B140" s="5" t="s">
        <v>845</v>
      </c>
      <c r="C140" s="110">
        <f>J133/1000</f>
        <v>7.5506010850982026</v>
      </c>
      <c r="D140" s="95" t="s">
        <v>199</v>
      </c>
      <c r="E140" s="4"/>
      <c r="F140" s="6" t="s">
        <v>59</v>
      </c>
      <c r="H140" s="147">
        <f>M130*1000/(C136*1000*0.798*10)</f>
        <v>4.5337640587689707</v>
      </c>
      <c r="I140" s="124">
        <f>C149*C136/1000</f>
        <v>352.19483843999996</v>
      </c>
      <c r="J140" s="124">
        <f>(Fermentador!C133*Fermentador!C136/1000)+((Fermentador!C148)*Fermentador!C136/1000)+(Fermentador!C147)*Fermentador!C136/1000</f>
        <v>285.77416947600005</v>
      </c>
      <c r="K140" s="148">
        <f>I136*100/SUM(J130:J135)</f>
        <v>0.26161578094585169</v>
      </c>
      <c r="M140" s="17"/>
    </row>
    <row r="141" spans="1:13" x14ac:dyDescent="0.25">
      <c r="A141" s="95" t="s">
        <v>873</v>
      </c>
      <c r="B141" s="5" t="s">
        <v>846</v>
      </c>
      <c r="C141" s="124">
        <f>(C137+C138+C139+C140-I140)/(D37*D36/1000)</f>
        <v>9506.5282547186507</v>
      </c>
      <c r="D141" s="104" t="s">
        <v>192</v>
      </c>
      <c r="E141" s="143"/>
      <c r="F141" s="6" t="s">
        <v>59</v>
      </c>
    </row>
    <row r="144" spans="1:13" x14ac:dyDescent="0.25">
      <c r="A144" s="113" t="s">
        <v>179</v>
      </c>
      <c r="B144" s="122" t="s">
        <v>62</v>
      </c>
      <c r="C144" s="122" t="s">
        <v>45</v>
      </c>
      <c r="D144" s="115" t="s">
        <v>46</v>
      </c>
      <c r="F144" s="22"/>
    </row>
    <row r="145" spans="1:13" x14ac:dyDescent="0.25">
      <c r="A145" s="95" t="s">
        <v>180</v>
      </c>
      <c r="B145" s="95" t="s">
        <v>132</v>
      </c>
      <c r="C145" s="110">
        <v>236</v>
      </c>
      <c r="D145" s="96" t="s">
        <v>181</v>
      </c>
      <c r="E145" s="22"/>
      <c r="F145" s="22"/>
    </row>
    <row r="146" spans="1:13" x14ac:dyDescent="0.25">
      <c r="A146" s="95" t="s">
        <v>867</v>
      </c>
      <c r="B146" s="95" t="s">
        <v>854</v>
      </c>
      <c r="C146" s="110">
        <v>0</v>
      </c>
      <c r="D146" s="96" t="s">
        <v>167</v>
      </c>
      <c r="E146" s="22"/>
      <c r="F146" s="22"/>
    </row>
    <row r="147" spans="1:13" x14ac:dyDescent="0.25">
      <c r="A147" s="95" t="s">
        <v>868</v>
      </c>
      <c r="B147" s="95" t="s">
        <v>855</v>
      </c>
      <c r="C147" s="110">
        <v>0.84899999999999998</v>
      </c>
      <c r="D147" s="96" t="s">
        <v>167</v>
      </c>
      <c r="E147" s="22"/>
      <c r="F147" s="22"/>
    </row>
    <row r="148" spans="1:13" x14ac:dyDescent="0.25">
      <c r="A148" s="95" t="s">
        <v>869</v>
      </c>
      <c r="B148" s="95" t="s">
        <v>856</v>
      </c>
      <c r="C148" s="110">
        <v>5.7229999999999999</v>
      </c>
      <c r="D148" s="96" t="s">
        <v>167</v>
      </c>
      <c r="E148" s="22"/>
      <c r="F148" s="22"/>
      <c r="M148" s="21"/>
    </row>
    <row r="149" spans="1:13" x14ac:dyDescent="0.25">
      <c r="A149" s="95" t="s">
        <v>870</v>
      </c>
      <c r="B149" s="95" t="s">
        <v>857</v>
      </c>
      <c r="C149" s="124">
        <v>37.527999999999999</v>
      </c>
      <c r="D149" s="48" t="s">
        <v>167</v>
      </c>
      <c r="E149" s="22"/>
      <c r="F149" s="22"/>
    </row>
    <row r="150" spans="1:13" x14ac:dyDescent="0.25">
      <c r="E150" s="22"/>
      <c r="F150" s="23"/>
    </row>
    <row r="153" spans="1:13" x14ac:dyDescent="0.25">
      <c r="A153" s="21" t="s">
        <v>606</v>
      </c>
    </row>
    <row r="154" spans="1:13" ht="15.75" x14ac:dyDescent="0.25">
      <c r="A154" s="25" t="s">
        <v>831</v>
      </c>
      <c r="B154" s="131"/>
      <c r="C154" s="131"/>
      <c r="D154" s="131"/>
    </row>
    <row r="155" spans="1:13" ht="16.149999999999999" customHeight="1" x14ac:dyDescent="0.25">
      <c r="A155" s="107" t="s">
        <v>766</v>
      </c>
      <c r="B155" s="107"/>
      <c r="C155" s="107"/>
      <c r="D155" s="107"/>
      <c r="E155" s="131"/>
      <c r="F155" s="131"/>
    </row>
    <row r="156" spans="1:13" ht="15.75" customHeight="1" x14ac:dyDescent="0.25">
      <c r="A156" t="s">
        <v>796</v>
      </c>
      <c r="B156" s="22"/>
      <c r="C156" s="22"/>
      <c r="D156" s="22"/>
      <c r="E156" s="107"/>
      <c r="F156" s="107"/>
      <c r="G156" s="107"/>
      <c r="H156" s="107"/>
      <c r="I156" s="107"/>
    </row>
    <row r="157" spans="1:13" x14ac:dyDescent="0.25">
      <c r="A157" t="s">
        <v>829</v>
      </c>
      <c r="E157" s="22"/>
    </row>
    <row r="158" spans="1:13" ht="15.75" x14ac:dyDescent="0.25">
      <c r="A158" s="25" t="s">
        <v>830</v>
      </c>
    </row>
  </sheetData>
  <mergeCells count="3">
    <mergeCell ref="C54:D54"/>
    <mergeCell ref="C46:D46"/>
    <mergeCell ref="A1:E11"/>
  </mergeCells>
  <pageMargins left="0.7" right="0.7" top="0.75" bottom="0.75" header="0.3" footer="0.3"/>
  <pageSetup paperSize="9" orientation="portrait" r:id="rId1"/>
  <drawing r:id="rId2"/>
  <tableParts count="16">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topLeftCell="C16" zoomScale="70" zoomScaleNormal="70" workbookViewId="0">
      <selection activeCell="G47" sqref="G47"/>
    </sheetView>
  </sheetViews>
  <sheetFormatPr baseColWidth="10" defaultRowHeight="15" x14ac:dyDescent="0.25"/>
  <cols>
    <col min="2" max="2" width="46.140625" bestFit="1" customWidth="1"/>
    <col min="3" max="4" width="11.7109375" customWidth="1"/>
    <col min="6" max="6" width="43.7109375" customWidth="1"/>
    <col min="7" max="7" width="26" customWidth="1"/>
    <col min="8" max="8" width="101.5703125" bestFit="1" customWidth="1"/>
    <col min="9" max="9" width="85.28515625" bestFit="1" customWidth="1"/>
    <col min="10" max="10" width="12.5703125" customWidth="1"/>
  </cols>
  <sheetData>
    <row r="1" spans="1:8" x14ac:dyDescent="0.25">
      <c r="A1" t="s">
        <v>604</v>
      </c>
    </row>
    <row r="5" spans="1:8" x14ac:dyDescent="0.25">
      <c r="B5" s="113" t="s">
        <v>11</v>
      </c>
      <c r="C5" s="261" t="s">
        <v>62</v>
      </c>
      <c r="D5" s="114" t="s">
        <v>45</v>
      </c>
      <c r="E5" s="114" t="s">
        <v>46</v>
      </c>
      <c r="F5" s="114" t="s">
        <v>65</v>
      </c>
      <c r="G5" s="114" t="s">
        <v>60</v>
      </c>
      <c r="H5" s="43" t="s">
        <v>61</v>
      </c>
    </row>
    <row r="6" spans="1:8" x14ac:dyDescent="0.25">
      <c r="B6" s="243" t="s">
        <v>603</v>
      </c>
      <c r="C6" s="236" t="s">
        <v>602</v>
      </c>
      <c r="D6" s="236">
        <v>0.45</v>
      </c>
      <c r="E6" s="236" t="s">
        <v>597</v>
      </c>
      <c r="F6" s="236"/>
      <c r="G6" s="4"/>
      <c r="H6" s="141" t="s">
        <v>158</v>
      </c>
    </row>
    <row r="7" spans="1:8" x14ac:dyDescent="0.25">
      <c r="B7" s="243" t="s">
        <v>601</v>
      </c>
      <c r="C7" s="236" t="s">
        <v>600</v>
      </c>
      <c r="D7" s="236">
        <v>1</v>
      </c>
      <c r="E7" s="236" t="s">
        <v>597</v>
      </c>
      <c r="F7" s="236"/>
      <c r="G7" s="4"/>
      <c r="H7" s="141" t="s">
        <v>158</v>
      </c>
    </row>
    <row r="8" spans="1:8" x14ac:dyDescent="0.25">
      <c r="B8" s="243" t="s">
        <v>599</v>
      </c>
      <c r="C8" s="236" t="s">
        <v>598</v>
      </c>
      <c r="D8" s="236">
        <f>0.7*1+0.3*0.3</f>
        <v>0.78999999999999992</v>
      </c>
      <c r="E8" s="236" t="s">
        <v>597</v>
      </c>
      <c r="F8" s="236"/>
      <c r="G8" s="4" t="s">
        <v>596</v>
      </c>
      <c r="H8" s="141" t="s">
        <v>159</v>
      </c>
    </row>
    <row r="9" spans="1:8" x14ac:dyDescent="0.25">
      <c r="B9" s="243" t="s">
        <v>595</v>
      </c>
      <c r="C9" s="236" t="s">
        <v>594</v>
      </c>
      <c r="D9" s="236">
        <v>0.71730000000000005</v>
      </c>
      <c r="E9" s="6" t="s">
        <v>59</v>
      </c>
      <c r="F9" s="236"/>
      <c r="G9" s="4"/>
      <c r="H9" s="141" t="s">
        <v>168</v>
      </c>
    </row>
    <row r="10" spans="1:8" x14ac:dyDescent="0.25">
      <c r="B10" s="243" t="s">
        <v>593</v>
      </c>
      <c r="C10" s="236" t="s">
        <v>592</v>
      </c>
      <c r="D10" s="236">
        <v>0.06</v>
      </c>
      <c r="E10" s="6" t="s">
        <v>59</v>
      </c>
      <c r="F10" s="236"/>
      <c r="G10" s="4"/>
      <c r="H10" s="141" t="s">
        <v>168</v>
      </c>
    </row>
    <row r="11" spans="1:8" x14ac:dyDescent="0.25">
      <c r="B11" s="243" t="s">
        <v>591</v>
      </c>
      <c r="C11" s="236" t="s">
        <v>590</v>
      </c>
      <c r="D11" s="83">
        <f>2.2*C45</f>
        <v>2763.0608899602767</v>
      </c>
      <c r="E11" s="236" t="s">
        <v>589</v>
      </c>
      <c r="F11" s="236"/>
      <c r="G11" s="4"/>
      <c r="H11" s="141"/>
    </row>
    <row r="12" spans="1:8" x14ac:dyDescent="0.25">
      <c r="B12" s="243" t="s">
        <v>588</v>
      </c>
      <c r="C12" s="236" t="s">
        <v>587</v>
      </c>
      <c r="D12" s="236">
        <v>2.5</v>
      </c>
      <c r="E12" s="6" t="s">
        <v>59</v>
      </c>
      <c r="F12" s="236"/>
      <c r="G12" s="4" t="s">
        <v>586</v>
      </c>
      <c r="H12" s="141"/>
    </row>
    <row r="13" spans="1:8" x14ac:dyDescent="0.25">
      <c r="B13" s="243" t="s">
        <v>585</v>
      </c>
      <c r="C13" s="236" t="s">
        <v>584</v>
      </c>
      <c r="D13" s="236">
        <v>98</v>
      </c>
      <c r="E13" s="236" t="s">
        <v>567</v>
      </c>
      <c r="F13" s="236"/>
      <c r="G13" s="4" t="s">
        <v>583</v>
      </c>
      <c r="H13" s="141" t="s">
        <v>158</v>
      </c>
    </row>
    <row r="14" spans="1:8" x14ac:dyDescent="0.25">
      <c r="B14" s="243" t="s">
        <v>582</v>
      </c>
      <c r="C14" s="236" t="s">
        <v>581</v>
      </c>
      <c r="D14" s="236">
        <v>68</v>
      </c>
      <c r="E14" s="236" t="s">
        <v>567</v>
      </c>
      <c r="F14" s="236"/>
      <c r="G14" t="s">
        <v>580</v>
      </c>
      <c r="H14" s="141"/>
    </row>
    <row r="15" spans="1:8" x14ac:dyDescent="0.25">
      <c r="B15" s="243" t="s">
        <v>579</v>
      </c>
      <c r="C15" s="236" t="s">
        <v>578</v>
      </c>
      <c r="D15" s="236">
        <v>0.2</v>
      </c>
      <c r="E15" s="6" t="s">
        <v>59</v>
      </c>
      <c r="F15" s="236"/>
      <c r="G15" s="4" t="s">
        <v>577</v>
      </c>
      <c r="H15" s="141"/>
    </row>
    <row r="16" spans="1:8" x14ac:dyDescent="0.25">
      <c r="B16" s="243" t="s">
        <v>576</v>
      </c>
      <c r="C16" s="236" t="s">
        <v>533</v>
      </c>
      <c r="D16" s="236">
        <f>D15+F24/D21</f>
        <v>0.85729999999999995</v>
      </c>
      <c r="E16" s="6" t="s">
        <v>59</v>
      </c>
      <c r="F16" s="236"/>
      <c r="G16" s="4" t="s">
        <v>575</v>
      </c>
      <c r="H16" s="141"/>
    </row>
    <row r="17" spans="2:10" x14ac:dyDescent="0.25">
      <c r="B17" s="243" t="s">
        <v>574</v>
      </c>
      <c r="C17" s="236" t="s">
        <v>573</v>
      </c>
      <c r="D17" s="236">
        <v>140</v>
      </c>
      <c r="E17" s="236" t="s">
        <v>567</v>
      </c>
      <c r="F17" s="236" t="s">
        <v>572</v>
      </c>
      <c r="G17" s="4"/>
      <c r="H17" s="141"/>
    </row>
    <row r="18" spans="2:10" x14ac:dyDescent="0.25">
      <c r="B18" s="243" t="s">
        <v>571</v>
      </c>
      <c r="C18" s="236" t="s">
        <v>570</v>
      </c>
      <c r="D18" s="236">
        <v>1036</v>
      </c>
      <c r="E18" s="236" t="s">
        <v>552</v>
      </c>
      <c r="F18" s="236"/>
      <c r="G18" s="4"/>
      <c r="H18" s="141" t="s">
        <v>158</v>
      </c>
    </row>
    <row r="19" spans="2:10" x14ac:dyDescent="0.25">
      <c r="B19" s="243" t="s">
        <v>569</v>
      </c>
      <c r="C19" s="236" t="s">
        <v>568</v>
      </c>
      <c r="D19" s="236">
        <f>((D17-D13)/EXP(D12))+D13</f>
        <v>101.44756994220376</v>
      </c>
      <c r="E19" s="236" t="s">
        <v>567</v>
      </c>
      <c r="F19" s="236" t="s">
        <v>566</v>
      </c>
      <c r="G19" s="4"/>
      <c r="H19" s="141"/>
    </row>
    <row r="20" spans="2:10" x14ac:dyDescent="0.25">
      <c r="B20" s="243" t="s">
        <v>565</v>
      </c>
      <c r="C20" s="236" t="s">
        <v>564</v>
      </c>
      <c r="D20" s="236">
        <v>160</v>
      </c>
      <c r="E20" s="236" t="s">
        <v>181</v>
      </c>
      <c r="F20" s="236"/>
      <c r="G20" s="4" t="s">
        <v>563</v>
      </c>
      <c r="H20" s="141"/>
    </row>
    <row r="21" spans="2:10" x14ac:dyDescent="0.25">
      <c r="B21" s="47" t="s">
        <v>562</v>
      </c>
      <c r="C21" s="104" t="s">
        <v>561</v>
      </c>
      <c r="D21" s="104">
        <f>D11/D20</f>
        <v>17.269130562251728</v>
      </c>
      <c r="E21" s="104" t="s">
        <v>537</v>
      </c>
      <c r="F21" s="104" t="s">
        <v>560</v>
      </c>
      <c r="G21" s="143"/>
      <c r="H21" s="49"/>
    </row>
    <row r="22" spans="2:10" x14ac:dyDescent="0.25">
      <c r="E22" s="232"/>
      <c r="F22" s="232"/>
      <c r="G22" s="232"/>
      <c r="H22" s="232"/>
    </row>
    <row r="23" spans="2:10" x14ac:dyDescent="0.25">
      <c r="B23" s="125" t="s">
        <v>559</v>
      </c>
      <c r="C23" s="125" t="s">
        <v>827</v>
      </c>
      <c r="D23" s="113" t="s">
        <v>1064</v>
      </c>
      <c r="E23" s="245" t="s">
        <v>62</v>
      </c>
      <c r="F23" s="114" t="s">
        <v>45</v>
      </c>
      <c r="G23" s="114" t="s">
        <v>46</v>
      </c>
      <c r="H23" s="114" t="s">
        <v>65</v>
      </c>
      <c r="I23" s="114" t="s">
        <v>60</v>
      </c>
      <c r="J23" s="43" t="s">
        <v>61</v>
      </c>
    </row>
    <row r="24" spans="2:10" x14ac:dyDescent="0.25">
      <c r="B24" s="243" t="s">
        <v>558</v>
      </c>
      <c r="C24" s="236"/>
      <c r="D24" s="236"/>
      <c r="E24" s="236" t="s">
        <v>557</v>
      </c>
      <c r="F24" s="236">
        <f>D21*(D9-D10)</f>
        <v>11.350999518568061</v>
      </c>
      <c r="G24" s="236" t="s">
        <v>556</v>
      </c>
      <c r="H24" s="236" t="s">
        <v>555</v>
      </c>
      <c r="I24" s="4"/>
      <c r="J24" s="141"/>
    </row>
    <row r="25" spans="2:10" x14ac:dyDescent="0.25">
      <c r="B25" s="243" t="s">
        <v>554</v>
      </c>
      <c r="C25" s="236"/>
      <c r="D25" s="236"/>
      <c r="E25" s="236" t="s">
        <v>553</v>
      </c>
      <c r="F25" s="236">
        <f>D8*(D19-D14)+D9*D7*(D13-D14)+D18*(D9-D10) + D10*D7*(D19-D13) + (D9-D10)*D6*(D19-D13)</f>
        <v>730.13197392622806</v>
      </c>
      <c r="G25" s="236" t="s">
        <v>552</v>
      </c>
      <c r="H25" s="236" t="s">
        <v>551</v>
      </c>
      <c r="I25" s="4" t="s">
        <v>550</v>
      </c>
      <c r="J25" s="141" t="s">
        <v>158</v>
      </c>
    </row>
    <row r="26" spans="2:10" x14ac:dyDescent="0.25">
      <c r="B26" s="243" t="s">
        <v>549</v>
      </c>
      <c r="C26" s="236"/>
      <c r="D26" s="236"/>
      <c r="E26" s="236" t="s">
        <v>548</v>
      </c>
      <c r="F26" s="236">
        <f>F25*D21</f>
        <v>12608.744385406608</v>
      </c>
      <c r="G26" s="236" t="s">
        <v>547</v>
      </c>
      <c r="H26" s="236" t="s">
        <v>546</v>
      </c>
      <c r="I26" s="4" t="s">
        <v>535</v>
      </c>
      <c r="J26" s="141"/>
    </row>
    <row r="27" spans="2:10" x14ac:dyDescent="0.25">
      <c r="B27" s="243" t="s">
        <v>545</v>
      </c>
      <c r="C27" s="236"/>
      <c r="D27" s="236"/>
      <c r="E27" s="236" t="s">
        <v>544</v>
      </c>
      <c r="F27" s="236">
        <v>0.245</v>
      </c>
      <c r="G27" s="236" t="s">
        <v>543</v>
      </c>
      <c r="H27" s="236"/>
      <c r="I27" s="4"/>
      <c r="J27" s="141" t="s">
        <v>158</v>
      </c>
    </row>
    <row r="28" spans="2:10" x14ac:dyDescent="0.25">
      <c r="B28" s="243" t="s">
        <v>542</v>
      </c>
      <c r="C28" s="236"/>
      <c r="D28" s="236"/>
      <c r="E28" s="236" t="s">
        <v>541</v>
      </c>
      <c r="F28" s="236">
        <f>F26/(F27*(D17-D19))</f>
        <v>1334.916183504512</v>
      </c>
      <c r="G28" s="236" t="s">
        <v>537</v>
      </c>
      <c r="H28" s="236" t="s">
        <v>540</v>
      </c>
      <c r="I28" s="4"/>
      <c r="J28" s="141" t="s">
        <v>158</v>
      </c>
    </row>
    <row r="29" spans="2:10" x14ac:dyDescent="0.25">
      <c r="B29" s="243" t="s">
        <v>539</v>
      </c>
      <c r="C29" s="236"/>
      <c r="D29" s="236"/>
      <c r="E29" s="236" t="s">
        <v>538</v>
      </c>
      <c r="F29" s="236">
        <f>F28/(1+D15)</f>
        <v>1112.4301529204267</v>
      </c>
      <c r="G29" s="236" t="s">
        <v>537</v>
      </c>
      <c r="H29" s="236" t="s">
        <v>536</v>
      </c>
      <c r="I29" s="4" t="s">
        <v>535</v>
      </c>
      <c r="J29" s="141"/>
    </row>
    <row r="30" spans="2:10" x14ac:dyDescent="0.25">
      <c r="B30" s="243" t="s">
        <v>534</v>
      </c>
      <c r="C30" s="236"/>
      <c r="D30" s="236"/>
      <c r="E30" s="236" t="s">
        <v>533</v>
      </c>
      <c r="F30" s="236">
        <f>D15+F24/D21</f>
        <v>0.85729999999999995</v>
      </c>
      <c r="G30" s="236" t="s">
        <v>532</v>
      </c>
      <c r="H30" s="236" t="s">
        <v>531</v>
      </c>
      <c r="I30" s="4"/>
      <c r="J30" s="141"/>
    </row>
    <row r="31" spans="2:10" x14ac:dyDescent="0.25">
      <c r="B31" s="243" t="s">
        <v>511</v>
      </c>
      <c r="C31" s="236"/>
      <c r="D31" s="236"/>
      <c r="E31" s="82" t="s">
        <v>530</v>
      </c>
      <c r="F31" s="36">
        <f>1*3.2808</f>
        <v>3.2808000000000002</v>
      </c>
      <c r="G31" s="236" t="s">
        <v>513</v>
      </c>
      <c r="H31" s="236"/>
      <c r="I31" s="4" t="s">
        <v>529</v>
      </c>
      <c r="J31" s="141"/>
    </row>
    <row r="32" spans="2:10" x14ac:dyDescent="0.25">
      <c r="B32" s="243" t="s">
        <v>528</v>
      </c>
      <c r="C32" s="236"/>
      <c r="D32" s="236"/>
      <c r="E32" s="106" t="s">
        <v>527</v>
      </c>
      <c r="F32" s="236">
        <f>PI()*F31*F31/4</f>
        <v>8.4537498733114429</v>
      </c>
      <c r="G32" s="236" t="s">
        <v>526</v>
      </c>
      <c r="H32" s="236" t="s">
        <v>525</v>
      </c>
      <c r="I32" s="4"/>
      <c r="J32" s="141"/>
    </row>
    <row r="33" spans="2:10" x14ac:dyDescent="0.25">
      <c r="B33" s="243" t="s">
        <v>524</v>
      </c>
      <c r="C33" s="236"/>
      <c r="D33" s="236"/>
      <c r="E33" s="106" t="s">
        <v>171</v>
      </c>
      <c r="F33" s="236">
        <f>F29/F32</f>
        <v>131.59014278768501</v>
      </c>
      <c r="G33" s="236" t="s">
        <v>523</v>
      </c>
      <c r="H33" s="236" t="s">
        <v>522</v>
      </c>
      <c r="I33" s="4" t="s">
        <v>521</v>
      </c>
      <c r="J33" s="141" t="s">
        <v>158</v>
      </c>
    </row>
    <row r="34" spans="2:10" x14ac:dyDescent="0.25">
      <c r="B34" s="243" t="s">
        <v>520</v>
      </c>
      <c r="C34" s="236"/>
      <c r="D34" s="236"/>
      <c r="E34" s="106" t="s">
        <v>519</v>
      </c>
      <c r="F34" s="236">
        <f>(F39-G39)/LN(F39/G39)</f>
        <v>15.420972023118511</v>
      </c>
      <c r="G34" s="236" t="s">
        <v>518</v>
      </c>
      <c r="H34" s="236" t="s">
        <v>517</v>
      </c>
      <c r="I34" s="4"/>
      <c r="J34" s="141"/>
    </row>
    <row r="35" spans="2:10" x14ac:dyDescent="0.25">
      <c r="B35" s="47" t="s">
        <v>508</v>
      </c>
      <c r="C35" s="104"/>
      <c r="D35" s="104"/>
      <c r="E35" s="274" t="s">
        <v>516</v>
      </c>
      <c r="F35" s="273">
        <f>F26/(0.125*PI()*F31*F34*(F33^0.67))</f>
        <v>24.134638560533322</v>
      </c>
      <c r="G35" s="104" t="s">
        <v>513</v>
      </c>
      <c r="H35" s="104" t="s">
        <v>515</v>
      </c>
      <c r="I35" s="143" t="s">
        <v>767</v>
      </c>
      <c r="J35" s="49" t="s">
        <v>158</v>
      </c>
    </row>
    <row r="36" spans="2:10" x14ac:dyDescent="0.25">
      <c r="F36" s="232"/>
      <c r="G36" s="232"/>
      <c r="H36" s="232"/>
    </row>
    <row r="37" spans="2:10" x14ac:dyDescent="0.25">
      <c r="B37" s="81" t="s">
        <v>514</v>
      </c>
      <c r="C37" s="81" t="s">
        <v>513</v>
      </c>
      <c r="D37" s="37" t="s">
        <v>40</v>
      </c>
      <c r="F37" t="s">
        <v>512</v>
      </c>
    </row>
    <row r="38" spans="2:10" x14ac:dyDescent="0.25">
      <c r="B38" s="4" t="s">
        <v>511</v>
      </c>
      <c r="C38" s="4">
        <f>F31</f>
        <v>3.2808000000000002</v>
      </c>
      <c r="D38" s="80">
        <v>1</v>
      </c>
      <c r="F38" t="s">
        <v>510</v>
      </c>
      <c r="G38" t="s">
        <v>509</v>
      </c>
    </row>
    <row r="39" spans="2:10" x14ac:dyDescent="0.25">
      <c r="B39" s="4" t="s">
        <v>508</v>
      </c>
      <c r="C39" s="4">
        <f>F35</f>
        <v>24.134638560533322</v>
      </c>
      <c r="D39" s="80">
        <f>F35*0.3048</f>
        <v>7.3562378332505567</v>
      </c>
      <c r="F39">
        <f>(D17-D13)</f>
        <v>42</v>
      </c>
      <c r="G39">
        <f>(D19-D13)</f>
        <v>3.4475699422037565</v>
      </c>
    </row>
    <row r="41" spans="2:10" x14ac:dyDescent="0.25">
      <c r="B41" s="35" t="s">
        <v>507</v>
      </c>
      <c r="C41" s="36" t="s">
        <v>199</v>
      </c>
      <c r="F41" s="357" t="s">
        <v>506</v>
      </c>
      <c r="G41" s="357"/>
    </row>
    <row r="42" spans="2:10" x14ac:dyDescent="0.25">
      <c r="B42" s="4" t="s">
        <v>505</v>
      </c>
      <c r="C42" s="236">
        <f>Fermentador!I90</f>
        <v>435.89405731446209</v>
      </c>
      <c r="F42" s="380" t="s">
        <v>504</v>
      </c>
      <c r="G42" s="236" t="s">
        <v>211</v>
      </c>
      <c r="H42" s="372" t="s">
        <v>210</v>
      </c>
      <c r="I42" s="372"/>
      <c r="J42" s="236" t="s">
        <v>495</v>
      </c>
    </row>
    <row r="43" spans="2:10" x14ac:dyDescent="0.25">
      <c r="B43" s="4" t="s">
        <v>503</v>
      </c>
      <c r="C43">
        <f>Fermentador!I114</f>
        <v>467.84787240930001</v>
      </c>
      <c r="F43" s="381"/>
      <c r="G43" s="236" t="s">
        <v>502</v>
      </c>
      <c r="H43" s="236" t="s">
        <v>501</v>
      </c>
      <c r="I43" s="236" t="s">
        <v>500</v>
      </c>
      <c r="J43" s="236"/>
    </row>
    <row r="44" spans="2:10" x14ac:dyDescent="0.25">
      <c r="B44" s="4" t="s">
        <v>499</v>
      </c>
      <c r="C44" s="236">
        <f>Fermentador!I140</f>
        <v>352.19483843999996</v>
      </c>
      <c r="F44" s="53" t="s">
        <v>493</v>
      </c>
      <c r="G44" s="53">
        <f>C42</f>
        <v>435.89405731446209</v>
      </c>
      <c r="H44" s="53">
        <f>G44*(1-$D$9)/(1-$D$10)</f>
        <v>131.0928191519132</v>
      </c>
      <c r="I44" s="272">
        <f>G44*$D$9-$D$10*(1-$D$9)*G44/(1-$D$10)</f>
        <v>304.80123816254888</v>
      </c>
      <c r="J44" s="272">
        <f>(G44-H44-I44)*100/G44</f>
        <v>0</v>
      </c>
    </row>
    <row r="45" spans="2:10" x14ac:dyDescent="0.25">
      <c r="B45" s="4" t="s">
        <v>246</v>
      </c>
      <c r="C45" s="79">
        <f>SUM(C42:C44)</f>
        <v>1255.9367681637621</v>
      </c>
      <c r="F45" s="78" t="s">
        <v>492</v>
      </c>
      <c r="G45" s="78">
        <f>C43</f>
        <v>467.84787240930001</v>
      </c>
      <c r="H45" s="78">
        <f>G45*(1-$D$9)/(1-$D$10)</f>
        <v>140.70275907458412</v>
      </c>
      <c r="I45" s="271">
        <f>G45*$D$9-$D$10*H45</f>
        <v>327.14511333471586</v>
      </c>
      <c r="J45" s="271">
        <f>(G45-H45-I45)*100/G45</f>
        <v>1.2149979130626066E-14</v>
      </c>
    </row>
    <row r="46" spans="2:10" x14ac:dyDescent="0.25">
      <c r="F46" s="77" t="s">
        <v>491</v>
      </c>
      <c r="G46" s="77">
        <f>C44</f>
        <v>352.19483843999996</v>
      </c>
      <c r="H46" s="77">
        <f>G46*(1-$D$9)/(1-$D$10)</f>
        <v>105.92072428402976</v>
      </c>
      <c r="I46" s="270">
        <f>G46*$D$9-$D$10*H46</f>
        <v>246.27411415597021</v>
      </c>
      <c r="J46" s="270">
        <f>(G46-H46-I46)*100/G46</f>
        <v>0</v>
      </c>
    </row>
    <row r="47" spans="2:10" x14ac:dyDescent="0.25">
      <c r="F47" s="236" t="s">
        <v>246</v>
      </c>
      <c r="G47" s="236">
        <f>SUM(G44:G46)</f>
        <v>1255.9367681637621</v>
      </c>
      <c r="H47" s="236">
        <f>G47*(1-$D$9)/(1-$D$10)</f>
        <v>377.71630251052716</v>
      </c>
      <c r="I47" s="4">
        <f>G47*$D$9-$D$10*H47</f>
        <v>878.22046565323501</v>
      </c>
      <c r="J47" s="4">
        <f>(G47-H47-I47)*100/G47</f>
        <v>-9.0519555286076602E-15</v>
      </c>
    </row>
    <row r="53" spans="4:9" x14ac:dyDescent="0.25">
      <c r="H53" s="22"/>
      <c r="I53" s="22"/>
    </row>
    <row r="54" spans="4:9" x14ac:dyDescent="0.25">
      <c r="H54" s="22"/>
      <c r="I54" s="22"/>
    </row>
    <row r="55" spans="4:9" x14ac:dyDescent="0.25">
      <c r="H55" s="22"/>
      <c r="I55" s="235"/>
    </row>
    <row r="56" spans="4:9" x14ac:dyDescent="0.25">
      <c r="D56" t="s">
        <v>158</v>
      </c>
      <c r="H56" s="22"/>
      <c r="I56" s="235"/>
    </row>
    <row r="57" spans="4:9" x14ac:dyDescent="0.25">
      <c r="D57" t="s">
        <v>497</v>
      </c>
      <c r="H57" s="22"/>
      <c r="I57" s="235"/>
    </row>
    <row r="58" spans="4:9" x14ac:dyDescent="0.25">
      <c r="D58" t="s">
        <v>159</v>
      </c>
      <c r="H58" s="22"/>
      <c r="I58" s="235"/>
    </row>
    <row r="59" spans="4:9" x14ac:dyDescent="0.25">
      <c r="D59" t="s">
        <v>772</v>
      </c>
      <c r="H59" s="22"/>
      <c r="I59" s="22"/>
    </row>
    <row r="60" spans="4:9" x14ac:dyDescent="0.25">
      <c r="D60" t="s">
        <v>168</v>
      </c>
    </row>
    <row r="61" spans="4:9" x14ac:dyDescent="0.25">
      <c r="D61" t="s">
        <v>498</v>
      </c>
    </row>
  </sheetData>
  <mergeCells count="3">
    <mergeCell ref="H42:I42"/>
    <mergeCell ref="F41:G41"/>
    <mergeCell ref="F42:F43"/>
  </mergeCells>
  <pageMargins left="0.7" right="0.7" top="0.75" bottom="0.75" header="0.3" footer="0.3"/>
  <pageSetup paperSize="9" orientation="portrait" r:id="rId1"/>
  <tableParts count="2">
    <tablePart r:id="rId2"/>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topLeftCell="A2" workbookViewId="0">
      <selection activeCell="G22" sqref="G22"/>
    </sheetView>
  </sheetViews>
  <sheetFormatPr baseColWidth="10" defaultRowHeight="15" x14ac:dyDescent="0.25"/>
  <cols>
    <col min="2" max="2" width="15.7109375" customWidth="1"/>
    <col min="9" max="9" width="41.5703125" customWidth="1"/>
  </cols>
  <sheetData>
    <row r="1" spans="1:10" x14ac:dyDescent="0.25">
      <c r="A1" t="s">
        <v>485</v>
      </c>
    </row>
    <row r="5" spans="1:10" x14ac:dyDescent="0.25">
      <c r="B5" s="22"/>
      <c r="C5" s="22"/>
      <c r="D5" s="382" t="s">
        <v>920</v>
      </c>
      <c r="E5" s="382"/>
      <c r="F5" s="382" t="s">
        <v>921</v>
      </c>
      <c r="G5" s="382"/>
      <c r="J5" t="s">
        <v>60</v>
      </c>
    </row>
    <row r="6" spans="1:10" x14ac:dyDescent="0.25">
      <c r="B6" s="22"/>
      <c r="C6" s="22"/>
      <c r="D6" s="143" t="s">
        <v>504</v>
      </c>
      <c r="E6" s="143" t="s">
        <v>777</v>
      </c>
      <c r="F6" s="143" t="s">
        <v>504</v>
      </c>
      <c r="G6" s="143" t="s">
        <v>777</v>
      </c>
      <c r="H6" s="204" t="s">
        <v>212</v>
      </c>
      <c r="J6" t="s">
        <v>1076</v>
      </c>
    </row>
    <row r="7" spans="1:10" x14ac:dyDescent="0.25">
      <c r="B7" s="22"/>
      <c r="C7" s="275" t="s">
        <v>493</v>
      </c>
      <c r="D7" s="275">
        <f>B14*Fermentador!D32*Fermentador!D33/1000</f>
        <v>10041.117837568168</v>
      </c>
      <c r="E7" s="275">
        <v>0</v>
      </c>
      <c r="F7" s="275">
        <f>D7</f>
        <v>10041.117837568168</v>
      </c>
      <c r="G7" s="275"/>
      <c r="H7" s="275">
        <f>(SUM(D7:E7)-SUM(F7:G7))/SUM(D7:E7)</f>
        <v>0</v>
      </c>
      <c r="J7" t="s">
        <v>1075</v>
      </c>
    </row>
    <row r="8" spans="1:10" x14ac:dyDescent="0.25">
      <c r="B8" s="22"/>
      <c r="C8" s="271" t="s">
        <v>492</v>
      </c>
      <c r="D8" s="271">
        <f>B15*Fermentador!D34*Fermentador!D35/1000</f>
        <v>11996.201268242476</v>
      </c>
      <c r="E8" s="271">
        <f>B15*$I$15</f>
        <v>3297.6414206280729</v>
      </c>
      <c r="F8" s="271">
        <f>D8</f>
        <v>11996.201268242476</v>
      </c>
      <c r="G8" s="271">
        <f>E8</f>
        <v>3297.6414206280729</v>
      </c>
      <c r="H8" s="271">
        <f>(SUM(D8:E8)-SUM(F8:G8))/SUM(D8:E8)</f>
        <v>0</v>
      </c>
      <c r="J8" t="s">
        <v>1074</v>
      </c>
    </row>
    <row r="9" spans="1:10" x14ac:dyDescent="0.25">
      <c r="B9" s="22"/>
      <c r="C9" s="38" t="s">
        <v>491</v>
      </c>
      <c r="D9" s="38">
        <f>B16*Fermentador!D36*Fermentador!D37/1000</f>
        <v>9757.4849244147663</v>
      </c>
      <c r="E9" s="38">
        <f>B16*$I$14</f>
        <v>602.79175195045605</v>
      </c>
      <c r="F9" s="38">
        <f>D9</f>
        <v>9757.4849244147663</v>
      </c>
      <c r="G9" s="38">
        <f>E9</f>
        <v>602.79175195045605</v>
      </c>
      <c r="H9" s="38">
        <f>(SUM(D9:E9)-SUM(F9:G9))/SUM(D9:E9)</f>
        <v>0</v>
      </c>
      <c r="J9" t="s">
        <v>1073</v>
      </c>
    </row>
    <row r="13" spans="1:10" x14ac:dyDescent="0.25">
      <c r="A13" s="88" t="s">
        <v>504</v>
      </c>
      <c r="B13" s="44" t="s">
        <v>1072</v>
      </c>
      <c r="H13" t="s">
        <v>777</v>
      </c>
      <c r="I13" s="232" t="s">
        <v>1071</v>
      </c>
      <c r="J13" t="s">
        <v>1064</v>
      </c>
    </row>
    <row r="14" spans="1:10" x14ac:dyDescent="0.25">
      <c r="A14" s="76" t="s">
        <v>493</v>
      </c>
      <c r="B14" s="141">
        <f>Fermentador!C91</f>
        <v>9713.6852840008323</v>
      </c>
      <c r="H14" t="s">
        <v>1070</v>
      </c>
      <c r="I14" s="232">
        <f>0.48/7.57</f>
        <v>6.3408190224570671E-2</v>
      </c>
      <c r="J14" t="s">
        <v>158</v>
      </c>
    </row>
    <row r="15" spans="1:10" x14ac:dyDescent="0.25">
      <c r="A15" s="76" t="s">
        <v>492</v>
      </c>
      <c r="B15" s="141">
        <f>Fermentador!C115</f>
        <v>11652.443182431354</v>
      </c>
      <c r="H15" t="s">
        <v>1069</v>
      </c>
      <c r="I15" s="232">
        <f>0.566/2</f>
        <v>0.28299999999999997</v>
      </c>
      <c r="J15" t="s">
        <v>159</v>
      </c>
    </row>
    <row r="16" spans="1:10" x14ac:dyDescent="0.25">
      <c r="A16" s="250" t="s">
        <v>491</v>
      </c>
      <c r="B16" s="49">
        <f>Fermentador!C141</f>
        <v>9506.5282547186507</v>
      </c>
    </row>
    <row r="18" spans="1:1" x14ac:dyDescent="0.25">
      <c r="A18" t="s">
        <v>1068</v>
      </c>
    </row>
    <row r="19" spans="1:1" x14ac:dyDescent="0.25">
      <c r="A19" t="s">
        <v>1067</v>
      </c>
    </row>
  </sheetData>
  <mergeCells count="2">
    <mergeCell ref="D5:E5"/>
    <mergeCell ref="F5:G5"/>
  </mergeCells>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BO54"/>
  <sheetViews>
    <sheetView zoomScale="60" zoomScaleNormal="60" workbookViewId="0">
      <selection activeCell="BO12" sqref="BO12"/>
    </sheetView>
  </sheetViews>
  <sheetFormatPr baseColWidth="10" defaultRowHeight="15" x14ac:dyDescent="0.25"/>
  <cols>
    <col min="1" max="1" width="17.5703125" bestFit="1" customWidth="1"/>
    <col min="2" max="2" width="6.28515625" bestFit="1" customWidth="1"/>
    <col min="3" max="4" width="6.7109375" bestFit="1" customWidth="1"/>
    <col min="5" max="5" width="5.140625" bestFit="1" customWidth="1"/>
    <col min="6" max="6" width="6.42578125" bestFit="1" customWidth="1"/>
    <col min="7" max="7" width="5.140625" bestFit="1" customWidth="1"/>
    <col min="8" max="8" width="6.42578125" bestFit="1" customWidth="1"/>
    <col min="9" max="10" width="6.7109375" bestFit="1" customWidth="1"/>
    <col min="11" max="11" width="5.140625" bestFit="1" customWidth="1"/>
    <col min="12" max="13" width="6.7109375" bestFit="1" customWidth="1"/>
    <col min="14" max="14" width="5.7109375" bestFit="1" customWidth="1"/>
    <col min="15" max="15" width="6.7109375" bestFit="1" customWidth="1"/>
    <col min="16" max="16" width="6.28515625" bestFit="1" customWidth="1"/>
    <col min="17" max="17" width="7.28515625" bestFit="1" customWidth="1"/>
    <col min="18" max="18" width="5" bestFit="1" customWidth="1"/>
    <col min="19" max="19" width="6.5703125" bestFit="1" customWidth="1"/>
    <col min="20" max="20" width="8.140625" bestFit="1" customWidth="1"/>
    <col min="21" max="21" width="6.7109375" bestFit="1" customWidth="1"/>
    <col min="22" max="22" width="5.28515625" bestFit="1" customWidth="1"/>
    <col min="23" max="23" width="5.7109375" bestFit="1" customWidth="1"/>
    <col min="24" max="25" width="6.7109375" bestFit="1" customWidth="1"/>
    <col min="26" max="26" width="5.28515625" bestFit="1" customWidth="1"/>
    <col min="27" max="27" width="4.28515625" bestFit="1" customWidth="1"/>
    <col min="28" max="29" width="6.7109375" bestFit="1" customWidth="1"/>
    <col min="30" max="30" width="4" bestFit="1" customWidth="1"/>
    <col min="31" max="32" width="5.140625" bestFit="1" customWidth="1"/>
    <col min="33" max="33" width="6.42578125" bestFit="1" customWidth="1"/>
    <col min="34" max="34" width="5.28515625" bestFit="1" customWidth="1"/>
    <col min="35" max="35" width="5.7109375" bestFit="1" customWidth="1"/>
    <col min="36" max="36" width="6.42578125" bestFit="1" customWidth="1"/>
    <col min="37" max="37" width="5.7109375" bestFit="1" customWidth="1"/>
    <col min="38" max="39" width="4.5703125" bestFit="1" customWidth="1"/>
    <col min="40" max="40" width="8.7109375" bestFit="1" customWidth="1"/>
    <col min="41" max="41" width="5" bestFit="1" customWidth="1"/>
    <col min="42" max="42" width="4.5703125" bestFit="1" customWidth="1"/>
    <col min="43" max="43" width="9" bestFit="1" customWidth="1"/>
    <col min="44" max="47" width="5.7109375" bestFit="1" customWidth="1"/>
    <col min="48" max="49" width="6.42578125" bestFit="1" customWidth="1"/>
    <col min="51" max="51" width="33.140625" bestFit="1" customWidth="1"/>
    <col min="52" max="53" width="21.28515625" bestFit="1" customWidth="1"/>
    <col min="54" max="54" width="11.42578125" bestFit="1" customWidth="1"/>
    <col min="55" max="55" width="14.7109375" bestFit="1" customWidth="1"/>
    <col min="56" max="56" width="11.7109375" bestFit="1" customWidth="1"/>
    <col min="57" max="57" width="25.42578125" bestFit="1" customWidth="1"/>
    <col min="58" max="58" width="11.42578125" bestFit="1" customWidth="1"/>
    <col min="59" max="59" width="13.42578125" bestFit="1" customWidth="1"/>
    <col min="60" max="60" width="25.42578125" bestFit="1" customWidth="1"/>
    <col min="61" max="61" width="27" bestFit="1" customWidth="1"/>
    <col min="62" max="62" width="9.85546875" bestFit="1" customWidth="1"/>
    <col min="63" max="63" width="25.85546875" bestFit="1" customWidth="1"/>
    <col min="65" max="65" width="12.7109375" bestFit="1" customWidth="1"/>
    <col min="66" max="66" width="9.28515625" bestFit="1" customWidth="1"/>
    <col min="67" max="67" width="8.7109375" bestFit="1" customWidth="1"/>
  </cols>
  <sheetData>
    <row r="6" spans="1:67" x14ac:dyDescent="0.25">
      <c r="B6" s="364" t="s">
        <v>1200</v>
      </c>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c r="AD6" s="364"/>
      <c r="AE6" s="364"/>
      <c r="AF6" s="364"/>
      <c r="AG6" s="364"/>
      <c r="AH6" s="364"/>
      <c r="AI6" s="364"/>
      <c r="AJ6" s="364"/>
      <c r="AK6" s="364"/>
      <c r="AL6" s="364"/>
      <c r="AM6" s="364"/>
      <c r="AN6" s="364"/>
      <c r="AO6" s="364"/>
      <c r="AP6" s="364"/>
      <c r="AQ6" s="364"/>
      <c r="AR6" s="364"/>
      <c r="AS6" s="364"/>
      <c r="AT6" s="364"/>
      <c r="AU6" s="364"/>
      <c r="AV6" s="364"/>
      <c r="AW6" s="364"/>
    </row>
    <row r="7" spans="1:67" x14ac:dyDescent="0.25">
      <c r="A7" s="351"/>
      <c r="B7" s="351">
        <v>1</v>
      </c>
      <c r="C7" s="351">
        <f>1+B7</f>
        <v>2</v>
      </c>
      <c r="D7" s="351">
        <f t="shared" ref="D7:AI7" si="0">1+C7</f>
        <v>3</v>
      </c>
      <c r="E7" s="351">
        <f t="shared" si="0"/>
        <v>4</v>
      </c>
      <c r="F7" s="351">
        <f t="shared" si="0"/>
        <v>5</v>
      </c>
      <c r="G7" s="351">
        <f t="shared" si="0"/>
        <v>6</v>
      </c>
      <c r="H7" s="351">
        <f t="shared" si="0"/>
        <v>7</v>
      </c>
      <c r="I7" s="351">
        <f t="shared" si="0"/>
        <v>8</v>
      </c>
      <c r="J7" s="351">
        <f t="shared" si="0"/>
        <v>9</v>
      </c>
      <c r="K7" s="351">
        <f t="shared" si="0"/>
        <v>10</v>
      </c>
      <c r="L7" s="351">
        <f t="shared" si="0"/>
        <v>11</v>
      </c>
      <c r="M7" s="351">
        <f t="shared" si="0"/>
        <v>12</v>
      </c>
      <c r="N7" s="351">
        <f t="shared" si="0"/>
        <v>13</v>
      </c>
      <c r="O7" s="351">
        <f t="shared" si="0"/>
        <v>14</v>
      </c>
      <c r="P7" s="351">
        <f t="shared" si="0"/>
        <v>15</v>
      </c>
      <c r="Q7" s="351">
        <f t="shared" si="0"/>
        <v>16</v>
      </c>
      <c r="R7" s="351">
        <f t="shared" si="0"/>
        <v>17</v>
      </c>
      <c r="S7" s="351">
        <f t="shared" si="0"/>
        <v>18</v>
      </c>
      <c r="T7" s="351">
        <f t="shared" si="0"/>
        <v>19</v>
      </c>
      <c r="U7" s="351">
        <f t="shared" si="0"/>
        <v>20</v>
      </c>
      <c r="V7" s="351">
        <f t="shared" si="0"/>
        <v>21</v>
      </c>
      <c r="W7" s="351">
        <f t="shared" si="0"/>
        <v>22</v>
      </c>
      <c r="X7" s="351">
        <f t="shared" si="0"/>
        <v>23</v>
      </c>
      <c r="Y7" s="351">
        <f t="shared" si="0"/>
        <v>24</v>
      </c>
      <c r="Z7" s="351">
        <f t="shared" si="0"/>
        <v>25</v>
      </c>
      <c r="AA7" s="351">
        <f t="shared" si="0"/>
        <v>26</v>
      </c>
      <c r="AB7" s="351">
        <f t="shared" si="0"/>
        <v>27</v>
      </c>
      <c r="AC7" s="351">
        <f t="shared" si="0"/>
        <v>28</v>
      </c>
      <c r="AD7" s="351">
        <f>1+AC7</f>
        <v>29</v>
      </c>
      <c r="AE7" s="351">
        <f t="shared" si="0"/>
        <v>30</v>
      </c>
      <c r="AF7" s="351">
        <f t="shared" si="0"/>
        <v>31</v>
      </c>
      <c r="AG7" s="351">
        <f t="shared" si="0"/>
        <v>32</v>
      </c>
      <c r="AH7" s="351">
        <f t="shared" si="0"/>
        <v>33</v>
      </c>
      <c r="AI7" s="351">
        <f t="shared" si="0"/>
        <v>34</v>
      </c>
      <c r="AJ7" s="351">
        <f t="shared" ref="AJ7:AW7" si="1">1+AI7</f>
        <v>35</v>
      </c>
      <c r="AK7" s="351">
        <f t="shared" si="1"/>
        <v>36</v>
      </c>
      <c r="AL7" s="351">
        <f t="shared" si="1"/>
        <v>37</v>
      </c>
      <c r="AM7" s="351">
        <f t="shared" si="1"/>
        <v>38</v>
      </c>
      <c r="AN7" s="351">
        <f t="shared" si="1"/>
        <v>39</v>
      </c>
      <c r="AO7" s="351">
        <f t="shared" si="1"/>
        <v>40</v>
      </c>
      <c r="AP7" s="351">
        <f t="shared" si="1"/>
        <v>41</v>
      </c>
      <c r="AQ7" s="351">
        <f t="shared" si="1"/>
        <v>42</v>
      </c>
      <c r="AR7" s="351">
        <f t="shared" si="1"/>
        <v>43</v>
      </c>
      <c r="AS7" s="351">
        <f t="shared" si="1"/>
        <v>44</v>
      </c>
      <c r="AT7" s="351">
        <f t="shared" si="1"/>
        <v>45</v>
      </c>
      <c r="AU7" s="351">
        <f t="shared" si="1"/>
        <v>46</v>
      </c>
      <c r="AV7" s="351">
        <f t="shared" si="1"/>
        <v>47</v>
      </c>
      <c r="AW7" s="351">
        <f t="shared" si="1"/>
        <v>48</v>
      </c>
      <c r="AY7" s="4" t="s">
        <v>1214</v>
      </c>
      <c r="AZ7" s="351" t="s">
        <v>1230</v>
      </c>
      <c r="BA7" s="351" t="s">
        <v>1231</v>
      </c>
      <c r="BB7" s="351" t="s">
        <v>1221</v>
      </c>
      <c r="BC7" s="351" t="s">
        <v>1229</v>
      </c>
      <c r="BD7" s="351" t="s">
        <v>1228</v>
      </c>
      <c r="BE7" s="351" t="s">
        <v>1232</v>
      </c>
      <c r="BF7" s="351" t="s">
        <v>1222</v>
      </c>
      <c r="BG7" s="351" t="s">
        <v>1225</v>
      </c>
      <c r="BH7" s="351" t="s">
        <v>1233</v>
      </c>
      <c r="BI7" s="351" t="s">
        <v>1224</v>
      </c>
      <c r="BJ7" s="351" t="s">
        <v>1227</v>
      </c>
      <c r="BK7" s="351" t="s">
        <v>1234</v>
      </c>
      <c r="BL7" s="351" t="s">
        <v>1226</v>
      </c>
      <c r="BM7" s="351" t="s">
        <v>1235</v>
      </c>
      <c r="BN7" s="351" t="s">
        <v>1223</v>
      </c>
      <c r="BO7" s="351" t="s">
        <v>1220</v>
      </c>
    </row>
    <row r="8" spans="1:67" x14ac:dyDescent="0.25">
      <c r="A8" s="365" t="s">
        <v>1201</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c r="AW8" s="365"/>
      <c r="AY8" s="4" t="s">
        <v>1215</v>
      </c>
      <c r="AZ8" s="351" t="s">
        <v>1236</v>
      </c>
      <c r="BA8" s="351" t="s">
        <v>1237</v>
      </c>
      <c r="BB8" s="351" t="s">
        <v>1189</v>
      </c>
      <c r="BC8" s="351" t="s">
        <v>1190</v>
      </c>
      <c r="BD8" s="351" t="s">
        <v>1238</v>
      </c>
      <c r="BE8" s="351" t="s">
        <v>1239</v>
      </c>
      <c r="BF8" s="351" t="s">
        <v>1240</v>
      </c>
      <c r="BG8" s="351" t="s">
        <v>479</v>
      </c>
      <c r="BH8" s="351" t="s">
        <v>1239</v>
      </c>
      <c r="BI8" s="351" t="s">
        <v>1241</v>
      </c>
      <c r="BJ8" s="351" t="s">
        <v>790</v>
      </c>
      <c r="BK8" s="351" t="s">
        <v>1242</v>
      </c>
      <c r="BL8" s="351" t="s">
        <v>482</v>
      </c>
      <c r="BM8" s="351" t="s">
        <v>485</v>
      </c>
      <c r="BN8" s="351" t="s">
        <v>1243</v>
      </c>
      <c r="BO8" s="351" t="s">
        <v>431</v>
      </c>
    </row>
    <row r="9" spans="1:67" x14ac:dyDescent="0.25">
      <c r="A9" s="351" t="s">
        <v>1210</v>
      </c>
      <c r="B9" s="351">
        <v>23</v>
      </c>
      <c r="C9" s="351">
        <v>15</v>
      </c>
      <c r="D9" s="351">
        <v>15</v>
      </c>
      <c r="E9" s="351">
        <v>23</v>
      </c>
      <c r="F9" s="351">
        <v>15</v>
      </c>
      <c r="G9" s="351">
        <v>23</v>
      </c>
      <c r="H9" s="351">
        <v>15</v>
      </c>
      <c r="I9" s="351">
        <v>15</v>
      </c>
      <c r="J9" s="351">
        <v>15</v>
      </c>
      <c r="K9" s="351">
        <v>15</v>
      </c>
      <c r="L9" s="351">
        <v>15</v>
      </c>
      <c r="M9" s="351">
        <v>15</v>
      </c>
      <c r="N9" s="351">
        <v>23</v>
      </c>
      <c r="O9" s="351">
        <v>74</v>
      </c>
      <c r="P9" s="351">
        <v>74</v>
      </c>
      <c r="Q9" s="351">
        <v>74</v>
      </c>
      <c r="R9" s="351">
        <v>23</v>
      </c>
      <c r="S9" s="351">
        <v>23</v>
      </c>
      <c r="T9" s="351">
        <v>74</v>
      </c>
      <c r="U9" s="351">
        <v>74</v>
      </c>
      <c r="V9" s="351">
        <v>23</v>
      </c>
      <c r="W9" s="351">
        <v>100</v>
      </c>
      <c r="X9" s="351">
        <v>100</v>
      </c>
      <c r="Y9" s="351">
        <v>85</v>
      </c>
      <c r="Z9" s="351">
        <v>23</v>
      </c>
      <c r="AA9" s="351">
        <v>85</v>
      </c>
      <c r="AB9" s="351">
        <v>85</v>
      </c>
      <c r="AC9" s="351">
        <v>20</v>
      </c>
      <c r="AD9" s="351">
        <v>23</v>
      </c>
      <c r="AE9" s="351">
        <v>23</v>
      </c>
      <c r="AF9" s="351">
        <v>23</v>
      </c>
      <c r="AG9" s="351" t="s">
        <v>1212</v>
      </c>
      <c r="AH9" s="351" t="s">
        <v>1212</v>
      </c>
      <c r="AI9" s="351" t="s">
        <v>1213</v>
      </c>
      <c r="AJ9" s="351">
        <v>5</v>
      </c>
      <c r="AK9" s="351" t="s">
        <v>1212</v>
      </c>
      <c r="AL9" s="351">
        <v>60</v>
      </c>
      <c r="AM9" s="351">
        <v>60</v>
      </c>
      <c r="AN9" s="351">
        <v>23</v>
      </c>
      <c r="AO9" s="351">
        <v>800</v>
      </c>
      <c r="AP9" s="351">
        <v>800</v>
      </c>
      <c r="AQ9" s="351">
        <v>800</v>
      </c>
      <c r="AR9" s="351">
        <v>140</v>
      </c>
      <c r="AS9" s="351">
        <v>120</v>
      </c>
      <c r="AT9" s="351">
        <v>20</v>
      </c>
      <c r="AU9" s="351">
        <v>50</v>
      </c>
      <c r="AV9" s="351" t="s">
        <v>1212</v>
      </c>
      <c r="AW9" s="351" t="s">
        <v>1212</v>
      </c>
      <c r="AY9" s="4" t="s">
        <v>1216</v>
      </c>
      <c r="AZ9" s="351">
        <v>2</v>
      </c>
      <c r="BA9" s="351">
        <v>1</v>
      </c>
      <c r="BB9" s="351">
        <v>1</v>
      </c>
      <c r="BC9" s="351">
        <v>1</v>
      </c>
      <c r="BD9" s="351">
        <v>1</v>
      </c>
      <c r="BE9" s="351">
        <v>1</v>
      </c>
      <c r="BF9" s="351">
        <v>1</v>
      </c>
      <c r="BG9" s="351">
        <v>1</v>
      </c>
      <c r="BH9" s="351">
        <v>1</v>
      </c>
      <c r="BI9" s="351">
        <v>1</v>
      </c>
      <c r="BJ9" s="351">
        <v>1</v>
      </c>
      <c r="BK9" s="351">
        <v>1</v>
      </c>
      <c r="BL9" s="351">
        <v>1</v>
      </c>
      <c r="BM9" s="351">
        <v>1</v>
      </c>
      <c r="BN9" s="351">
        <v>1</v>
      </c>
      <c r="BO9" s="351">
        <v>1</v>
      </c>
    </row>
    <row r="10" spans="1:67" x14ac:dyDescent="0.25">
      <c r="A10" s="365" t="s">
        <v>1211</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c r="AW10" s="365"/>
      <c r="AY10" s="4" t="s">
        <v>1217</v>
      </c>
      <c r="AZ10" s="351" t="s">
        <v>198</v>
      </c>
      <c r="BA10" s="351" t="s">
        <v>198</v>
      </c>
      <c r="BB10" s="351" t="s">
        <v>198</v>
      </c>
      <c r="BC10" s="351"/>
      <c r="BD10" s="351"/>
      <c r="BE10" s="351" t="s">
        <v>198</v>
      </c>
      <c r="BF10" s="351"/>
      <c r="BG10" s="351"/>
      <c r="BH10" s="351" t="s">
        <v>198</v>
      </c>
      <c r="BI10" s="351"/>
      <c r="BJ10" s="351" t="s">
        <v>198</v>
      </c>
      <c r="BK10" s="351"/>
      <c r="BL10" s="351"/>
      <c r="BM10" s="351" t="s">
        <v>198</v>
      </c>
      <c r="BN10" s="351"/>
      <c r="BO10" s="351"/>
    </row>
    <row r="11" spans="1:67" x14ac:dyDescent="0.25">
      <c r="A11" s="351" t="s">
        <v>1192</v>
      </c>
      <c r="B11" s="110">
        <f>'Balance de Masa Global'!H7+'Balance de Masa Global'!H37+'Balance de Masa Global'!H65</f>
        <v>2.9149000000000001E-2</v>
      </c>
      <c r="C11" s="351" t="s">
        <v>198</v>
      </c>
      <c r="D11" s="110">
        <f>B11</f>
        <v>2.9149000000000001E-2</v>
      </c>
      <c r="E11" s="351" t="s">
        <v>198</v>
      </c>
      <c r="F11" s="351" t="s">
        <v>198</v>
      </c>
      <c r="G11" s="351" t="s">
        <v>198</v>
      </c>
      <c r="H11" s="351" t="s">
        <v>198</v>
      </c>
      <c r="I11" s="351" t="s">
        <v>198</v>
      </c>
      <c r="J11" s="351" t="s">
        <v>198</v>
      </c>
      <c r="K11" s="351" t="s">
        <v>198</v>
      </c>
      <c r="L11" s="351" t="s">
        <v>198</v>
      </c>
      <c r="M11" s="351" t="s">
        <v>198</v>
      </c>
      <c r="N11" s="351" t="s">
        <v>198</v>
      </c>
      <c r="O11" s="351" t="s">
        <v>198</v>
      </c>
      <c r="P11" s="351" t="s">
        <v>198</v>
      </c>
      <c r="Q11" s="351" t="s">
        <v>198</v>
      </c>
      <c r="R11" s="351" t="s">
        <v>198</v>
      </c>
      <c r="S11" s="351" t="s">
        <v>198</v>
      </c>
      <c r="T11" s="351" t="s">
        <v>198</v>
      </c>
      <c r="U11" s="351" t="s">
        <v>198</v>
      </c>
      <c r="V11" s="351" t="s">
        <v>198</v>
      </c>
      <c r="W11" s="351" t="s">
        <v>198</v>
      </c>
      <c r="X11" s="351" t="s">
        <v>198</v>
      </c>
      <c r="Y11" s="351" t="s">
        <v>198</v>
      </c>
      <c r="Z11" s="351" t="s">
        <v>198</v>
      </c>
      <c r="AA11" s="351" t="s">
        <v>198</v>
      </c>
      <c r="AB11" s="351" t="s">
        <v>198</v>
      </c>
      <c r="AC11" s="351" t="s">
        <v>198</v>
      </c>
      <c r="AD11" s="351" t="s">
        <v>198</v>
      </c>
      <c r="AE11" s="351" t="s">
        <v>198</v>
      </c>
      <c r="AF11" s="351" t="s">
        <v>198</v>
      </c>
      <c r="AG11" s="351" t="s">
        <v>198</v>
      </c>
      <c r="AH11" s="351" t="s">
        <v>198</v>
      </c>
      <c r="AI11" s="351" t="s">
        <v>198</v>
      </c>
      <c r="AJ11" s="351" t="s">
        <v>198</v>
      </c>
      <c r="AK11" s="351" t="s">
        <v>198</v>
      </c>
      <c r="AL11" s="351" t="s">
        <v>198</v>
      </c>
      <c r="AM11" s="351" t="s">
        <v>198</v>
      </c>
      <c r="AN11" s="351" t="s">
        <v>198</v>
      </c>
      <c r="AO11" s="351" t="s">
        <v>198</v>
      </c>
      <c r="AP11" s="351" t="s">
        <v>198</v>
      </c>
      <c r="AQ11" s="351" t="s">
        <v>198</v>
      </c>
      <c r="AR11" s="351" t="s">
        <v>198</v>
      </c>
      <c r="AS11" s="351" t="s">
        <v>198</v>
      </c>
      <c r="AT11" s="351" t="s">
        <v>198</v>
      </c>
      <c r="AU11" s="351" t="s">
        <v>198</v>
      </c>
      <c r="AV11" s="351" t="s">
        <v>198</v>
      </c>
      <c r="AW11" s="351" t="s">
        <v>198</v>
      </c>
      <c r="AY11" s="7" t="s">
        <v>1218</v>
      </c>
      <c r="AZ11" s="7" t="s">
        <v>198</v>
      </c>
      <c r="BA11" s="7" t="s">
        <v>198</v>
      </c>
      <c r="BB11" s="7" t="s">
        <v>198</v>
      </c>
      <c r="BC11" s="7"/>
      <c r="BD11" s="7"/>
      <c r="BE11" s="7" t="s">
        <v>198</v>
      </c>
      <c r="BF11" s="7"/>
      <c r="BG11" s="7"/>
      <c r="BH11" s="7" t="s">
        <v>198</v>
      </c>
      <c r="BI11" s="7"/>
      <c r="BJ11" s="7" t="s">
        <v>198</v>
      </c>
      <c r="BK11" s="7"/>
      <c r="BL11" s="7"/>
      <c r="BM11" s="7" t="s">
        <v>198</v>
      </c>
      <c r="BN11" s="7"/>
      <c r="BO11" s="7"/>
    </row>
    <row r="12" spans="1:67" x14ac:dyDescent="0.25">
      <c r="A12" s="351" t="s">
        <v>449</v>
      </c>
      <c r="B12" s="351" t="s">
        <v>198</v>
      </c>
      <c r="C12" s="351">
        <f>'Balance de Masa Global'!B37+'Balance de Masa Global'!B65+'Balance de Masa Global'!B7</f>
        <v>29149</v>
      </c>
      <c r="D12" s="351">
        <f>C12</f>
        <v>29149</v>
      </c>
      <c r="E12" s="351" t="s">
        <v>198</v>
      </c>
      <c r="F12" s="155">
        <f>D12+D11</f>
        <v>29149.029149000002</v>
      </c>
      <c r="G12" s="351" t="s">
        <v>198</v>
      </c>
      <c r="H12" s="155">
        <f>F12</f>
        <v>29149.029149000002</v>
      </c>
      <c r="I12" s="351">
        <f>'Balance de Masa Global'!P10+'Balance de Masa Global'!P40+'Balance de Masa Global'!P68</f>
        <v>820.69999999999891</v>
      </c>
      <c r="J12" s="155">
        <f>Sedimentador!K27+Sedimentador!K37+Sedimentador!K47</f>
        <v>28328.300000000003</v>
      </c>
      <c r="K12" s="353">
        <f>'Balance de Masa Global'!P11+'Balance de Masa Global'!P41+'Balance de Masa Global'!P69</f>
        <v>28.299999999995634</v>
      </c>
      <c r="L12" s="155">
        <f>J12-K12</f>
        <v>28300.000000000007</v>
      </c>
      <c r="M12" s="351">
        <f>L12</f>
        <v>28300.000000000007</v>
      </c>
      <c r="N12" s="351" t="s">
        <v>198</v>
      </c>
      <c r="O12" s="351" t="s">
        <v>198</v>
      </c>
      <c r="P12" s="351" t="s">
        <v>198</v>
      </c>
      <c r="Q12" s="351" t="s">
        <v>198</v>
      </c>
      <c r="R12" s="351" t="s">
        <v>198</v>
      </c>
      <c r="S12" s="351" t="s">
        <v>198</v>
      </c>
      <c r="T12" s="351" t="s">
        <v>198</v>
      </c>
      <c r="U12" s="351" t="s">
        <v>198</v>
      </c>
      <c r="V12" s="351" t="s">
        <v>198</v>
      </c>
      <c r="W12" s="351" t="s">
        <v>198</v>
      </c>
      <c r="X12" s="351" t="s">
        <v>198</v>
      </c>
      <c r="Y12" s="351" t="s">
        <v>198</v>
      </c>
      <c r="Z12" s="351" t="s">
        <v>198</v>
      </c>
      <c r="AA12" s="351" t="s">
        <v>198</v>
      </c>
      <c r="AB12" s="351" t="s">
        <v>198</v>
      </c>
      <c r="AC12" s="351" t="s">
        <v>198</v>
      </c>
      <c r="AD12" s="351" t="s">
        <v>198</v>
      </c>
      <c r="AE12" s="351" t="s">
        <v>198</v>
      </c>
      <c r="AF12" s="351" t="s">
        <v>198</v>
      </c>
      <c r="AG12" s="351" t="s">
        <v>198</v>
      </c>
      <c r="AH12" s="351" t="s">
        <v>198</v>
      </c>
      <c r="AI12" s="351" t="s">
        <v>198</v>
      </c>
      <c r="AJ12" s="351" t="s">
        <v>198</v>
      </c>
      <c r="AK12" s="351" t="s">
        <v>198</v>
      </c>
      <c r="AL12" s="155">
        <f>'Balance de Masa Global'!P77+'Balance de Masa Global'!P49+'Balance de Masa Global'!P19</f>
        <v>0</v>
      </c>
      <c r="AM12" s="351" t="s">
        <v>198</v>
      </c>
      <c r="AN12" s="351" t="s">
        <v>198</v>
      </c>
      <c r="AO12" s="351" t="s">
        <v>198</v>
      </c>
      <c r="AP12" s="351" t="s">
        <v>198</v>
      </c>
      <c r="AQ12" s="351" t="s">
        <v>198</v>
      </c>
      <c r="AR12" s="351" t="s">
        <v>198</v>
      </c>
      <c r="AS12" s="351" t="s">
        <v>198</v>
      </c>
      <c r="AT12" s="155">
        <f>Cocción!F31</f>
        <v>5795.098682519103</v>
      </c>
      <c r="AU12" s="155">
        <f>AT12</f>
        <v>5795.098682519103</v>
      </c>
      <c r="AV12" s="155">
        <f>Cocción!G31</f>
        <v>15067.256574549669</v>
      </c>
      <c r="AW12" s="155">
        <f>AV12</f>
        <v>15067.256574549669</v>
      </c>
      <c r="AY12" s="4" t="s">
        <v>1219</v>
      </c>
      <c r="AZ12" s="351" t="s">
        <v>198</v>
      </c>
      <c r="BA12" s="351" t="s">
        <v>198</v>
      </c>
      <c r="BB12" s="351" t="s">
        <v>198</v>
      </c>
      <c r="BC12" s="351"/>
      <c r="BD12" s="351"/>
      <c r="BE12" s="351" t="s">
        <v>198</v>
      </c>
      <c r="BF12" s="351"/>
      <c r="BG12" s="351"/>
      <c r="BH12" s="351" t="s">
        <v>198</v>
      </c>
      <c r="BI12" s="351"/>
      <c r="BJ12" s="351" t="s">
        <v>198</v>
      </c>
      <c r="BK12" s="351"/>
      <c r="BL12" s="351"/>
      <c r="BM12" s="351" t="s">
        <v>198</v>
      </c>
      <c r="BN12" s="351"/>
      <c r="BO12" s="351"/>
    </row>
    <row r="13" spans="1:67" x14ac:dyDescent="0.25">
      <c r="A13" s="351" t="s">
        <v>1120</v>
      </c>
      <c r="B13" s="351" t="s">
        <v>198</v>
      </c>
      <c r="C13" s="351" t="s">
        <v>198</v>
      </c>
      <c r="D13" s="351" t="s">
        <v>198</v>
      </c>
      <c r="E13" s="111">
        <f>'Balance de Masa Global'!J8+'Balance de Masa Global'!J38+'Balance de Masa Global'!J66</f>
        <v>0.44804927900000002</v>
      </c>
      <c r="F13" s="111">
        <f>E13</f>
        <v>0.44804927900000002</v>
      </c>
      <c r="G13" s="351" t="s">
        <v>198</v>
      </c>
      <c r="H13" s="111">
        <f>F13</f>
        <v>0.44804927900000002</v>
      </c>
      <c r="I13" s="111">
        <f>H13*0.5</f>
        <v>0.22402463950000001</v>
      </c>
      <c r="J13" s="111">
        <f>I13</f>
        <v>0.22402463950000001</v>
      </c>
      <c r="K13" s="111">
        <f>H13*0.4</f>
        <v>0.17921971160000003</v>
      </c>
      <c r="L13" s="110">
        <f>H13-J13-K13</f>
        <v>4.4804927899999986E-2</v>
      </c>
      <c r="M13" s="351" t="s">
        <v>198</v>
      </c>
      <c r="N13" s="351" t="s">
        <v>198</v>
      </c>
      <c r="O13" s="351" t="s">
        <v>198</v>
      </c>
      <c r="P13" s="351" t="s">
        <v>198</v>
      </c>
      <c r="Q13" s="351" t="s">
        <v>198</v>
      </c>
      <c r="R13" s="351" t="s">
        <v>198</v>
      </c>
      <c r="S13" s="351" t="s">
        <v>198</v>
      </c>
      <c r="T13" s="351" t="s">
        <v>198</v>
      </c>
      <c r="U13" s="351" t="s">
        <v>198</v>
      </c>
      <c r="V13" s="351" t="s">
        <v>198</v>
      </c>
      <c r="W13" s="351" t="s">
        <v>198</v>
      </c>
      <c r="X13" s="351" t="s">
        <v>198</v>
      </c>
      <c r="Y13" s="351" t="s">
        <v>198</v>
      </c>
      <c r="Z13" s="351" t="s">
        <v>198</v>
      </c>
      <c r="AA13" s="351" t="s">
        <v>198</v>
      </c>
      <c r="AB13" s="351" t="s">
        <v>198</v>
      </c>
      <c r="AC13" s="351" t="s">
        <v>198</v>
      </c>
      <c r="AD13" s="351" t="s">
        <v>198</v>
      </c>
      <c r="AE13" s="351" t="s">
        <v>198</v>
      </c>
      <c r="AF13" s="351" t="s">
        <v>198</v>
      </c>
      <c r="AG13" s="351" t="s">
        <v>198</v>
      </c>
      <c r="AH13" s="351" t="s">
        <v>198</v>
      </c>
      <c r="AI13" s="351" t="s">
        <v>198</v>
      </c>
      <c r="AJ13" s="351" t="s">
        <v>198</v>
      </c>
      <c r="AK13" s="351" t="s">
        <v>198</v>
      </c>
      <c r="AL13" s="351" t="s">
        <v>198</v>
      </c>
      <c r="AM13" s="351" t="s">
        <v>198</v>
      </c>
      <c r="AN13" s="351" t="s">
        <v>198</v>
      </c>
      <c r="AO13" s="351" t="s">
        <v>198</v>
      </c>
      <c r="AP13" s="351" t="s">
        <v>198</v>
      </c>
      <c r="AQ13" s="351" t="s">
        <v>198</v>
      </c>
      <c r="AR13" s="351" t="s">
        <v>198</v>
      </c>
      <c r="AS13" s="351" t="s">
        <v>198</v>
      </c>
      <c r="AT13" s="351" t="s">
        <v>198</v>
      </c>
      <c r="AU13" s="351" t="s">
        <v>198</v>
      </c>
      <c r="AV13" s="351" t="s">
        <v>198</v>
      </c>
      <c r="AW13" s="351" t="s">
        <v>198</v>
      </c>
    </row>
    <row r="14" spans="1:67" x14ac:dyDescent="0.25">
      <c r="A14" s="351" t="s">
        <v>1160</v>
      </c>
      <c r="B14" s="351" t="s">
        <v>198</v>
      </c>
      <c r="C14" s="351" t="s">
        <v>198</v>
      </c>
      <c r="D14" s="351" t="s">
        <v>198</v>
      </c>
      <c r="E14" s="351" t="s">
        <v>198</v>
      </c>
      <c r="F14" s="351" t="s">
        <v>198</v>
      </c>
      <c r="G14" s="111">
        <f>'Balance de Masa Global'!K39+'Balance de Masa Global'!K67+'Balance de Masa Global'!K9</f>
        <v>0.44804927900000002</v>
      </c>
      <c r="H14" s="111">
        <f>G14</f>
        <v>0.44804927900000002</v>
      </c>
      <c r="I14" s="111">
        <f>H14*0.5</f>
        <v>0.22402463950000001</v>
      </c>
      <c r="J14" s="111">
        <f>I14</f>
        <v>0.22402463950000001</v>
      </c>
      <c r="K14" s="111">
        <f>H14*0.4</f>
        <v>0.17921971160000003</v>
      </c>
      <c r="L14" s="110">
        <f>H14-J14-K14</f>
        <v>4.4804927899999986E-2</v>
      </c>
      <c r="M14" s="351" t="s">
        <v>198</v>
      </c>
      <c r="N14" s="351" t="s">
        <v>198</v>
      </c>
      <c r="O14" s="351" t="s">
        <v>198</v>
      </c>
      <c r="P14" s="351" t="s">
        <v>198</v>
      </c>
      <c r="Q14" s="351" t="s">
        <v>198</v>
      </c>
      <c r="R14" s="351" t="s">
        <v>198</v>
      </c>
      <c r="S14" s="351" t="s">
        <v>198</v>
      </c>
      <c r="T14" s="351" t="s">
        <v>198</v>
      </c>
      <c r="U14" s="351" t="s">
        <v>198</v>
      </c>
      <c r="V14" s="351" t="s">
        <v>198</v>
      </c>
      <c r="W14" s="351" t="s">
        <v>198</v>
      </c>
      <c r="X14" s="351" t="s">
        <v>198</v>
      </c>
      <c r="Y14" s="351" t="s">
        <v>198</v>
      </c>
      <c r="Z14" s="351" t="s">
        <v>198</v>
      </c>
      <c r="AA14" s="351" t="s">
        <v>198</v>
      </c>
      <c r="AB14" s="351" t="s">
        <v>198</v>
      </c>
      <c r="AC14" s="351" t="s">
        <v>198</v>
      </c>
      <c r="AD14" s="351" t="s">
        <v>198</v>
      </c>
      <c r="AE14" s="351" t="s">
        <v>198</v>
      </c>
      <c r="AF14" s="351" t="s">
        <v>198</v>
      </c>
      <c r="AG14" s="351" t="s">
        <v>198</v>
      </c>
      <c r="AH14" s="351" t="s">
        <v>198</v>
      </c>
      <c r="AI14" s="351" t="s">
        <v>198</v>
      </c>
      <c r="AJ14" s="351" t="s">
        <v>198</v>
      </c>
      <c r="AK14" s="351" t="s">
        <v>198</v>
      </c>
      <c r="AL14" s="351" t="s">
        <v>198</v>
      </c>
      <c r="AM14" s="351" t="s">
        <v>198</v>
      </c>
      <c r="AN14" s="351" t="s">
        <v>198</v>
      </c>
      <c r="AO14" s="351" t="s">
        <v>198</v>
      </c>
      <c r="AP14" s="351" t="s">
        <v>198</v>
      </c>
      <c r="AQ14" s="351" t="s">
        <v>198</v>
      </c>
      <c r="AR14" s="351" t="s">
        <v>198</v>
      </c>
      <c r="AS14" s="351" t="s">
        <v>198</v>
      </c>
      <c r="AT14" s="351" t="s">
        <v>198</v>
      </c>
      <c r="AU14" s="351" t="s">
        <v>198</v>
      </c>
      <c r="AV14" s="351" t="s">
        <v>198</v>
      </c>
      <c r="AW14" s="351" t="s">
        <v>198</v>
      </c>
    </row>
    <row r="15" spans="1:67" x14ac:dyDescent="0.25">
      <c r="A15" s="351" t="s">
        <v>774</v>
      </c>
      <c r="B15" s="351" t="s">
        <v>198</v>
      </c>
      <c r="C15" s="351" t="s">
        <v>198</v>
      </c>
      <c r="D15" s="351" t="s">
        <v>198</v>
      </c>
      <c r="E15" s="351" t="s">
        <v>198</v>
      </c>
      <c r="F15" s="351" t="s">
        <v>198</v>
      </c>
      <c r="G15" s="351" t="s">
        <v>198</v>
      </c>
      <c r="H15" s="351" t="s">
        <v>198</v>
      </c>
      <c r="I15" s="351" t="s">
        <v>198</v>
      </c>
      <c r="J15" s="351" t="s">
        <v>198</v>
      </c>
      <c r="K15" s="351" t="s">
        <v>198</v>
      </c>
      <c r="L15" s="351" t="s">
        <v>198</v>
      </c>
      <c r="M15" s="351" t="s">
        <v>198</v>
      </c>
      <c r="N15" s="351">
        <f>'Balance de Masa Global'!C42+'Balance de Masa Global'!C70+'Balance de Masa Global'!C12</f>
        <v>7628</v>
      </c>
      <c r="O15" s="351" t="s">
        <v>198</v>
      </c>
      <c r="P15" s="351" t="s">
        <v>198</v>
      </c>
      <c r="Q15" s="351" t="s">
        <v>198</v>
      </c>
      <c r="R15" s="351" t="s">
        <v>198</v>
      </c>
      <c r="S15" s="351" t="s">
        <v>198</v>
      </c>
      <c r="T15" s="351" t="s">
        <v>198</v>
      </c>
      <c r="U15" s="351" t="s">
        <v>198</v>
      </c>
      <c r="V15" s="351" t="s">
        <v>198</v>
      </c>
      <c r="W15" s="351" t="s">
        <v>198</v>
      </c>
      <c r="X15" s="351" t="s">
        <v>198</v>
      </c>
      <c r="Y15" s="351" t="s">
        <v>198</v>
      </c>
      <c r="Z15" s="351" t="s">
        <v>198</v>
      </c>
      <c r="AA15" s="351" t="s">
        <v>198</v>
      </c>
      <c r="AB15" s="351" t="s">
        <v>198</v>
      </c>
      <c r="AC15" s="351" t="s">
        <v>198</v>
      </c>
      <c r="AD15" s="351" t="s">
        <v>198</v>
      </c>
      <c r="AE15" s="351" t="s">
        <v>198</v>
      </c>
      <c r="AF15" s="351" t="s">
        <v>198</v>
      </c>
      <c r="AG15" s="351" t="s">
        <v>198</v>
      </c>
      <c r="AH15" s="351" t="s">
        <v>198</v>
      </c>
      <c r="AI15" s="351" t="s">
        <v>198</v>
      </c>
      <c r="AJ15" s="351" t="s">
        <v>198</v>
      </c>
      <c r="AK15" s="351" t="s">
        <v>198</v>
      </c>
      <c r="AL15" s="351" t="s">
        <v>198</v>
      </c>
      <c r="AM15" s="351" t="s">
        <v>198</v>
      </c>
      <c r="AN15" s="351" t="s">
        <v>198</v>
      </c>
      <c r="AO15" s="351" t="s">
        <v>198</v>
      </c>
      <c r="AP15" s="351" t="s">
        <v>198</v>
      </c>
      <c r="AQ15" s="351" t="s">
        <v>198</v>
      </c>
      <c r="AR15" s="351" t="s">
        <v>198</v>
      </c>
      <c r="AS15" s="351" t="s">
        <v>198</v>
      </c>
      <c r="AT15" s="351" t="s">
        <v>198</v>
      </c>
      <c r="AU15" s="351" t="s">
        <v>198</v>
      </c>
      <c r="AV15" s="351" t="s">
        <v>198</v>
      </c>
      <c r="AW15" s="351" t="s">
        <v>198</v>
      </c>
    </row>
    <row r="16" spans="1:67" x14ac:dyDescent="0.25">
      <c r="A16" s="351" t="s">
        <v>783</v>
      </c>
      <c r="B16" s="351" t="s">
        <v>198</v>
      </c>
      <c r="C16" s="351" t="s">
        <v>198</v>
      </c>
      <c r="D16" s="351" t="s">
        <v>198</v>
      </c>
      <c r="E16" s="351" t="s">
        <v>198</v>
      </c>
      <c r="F16" s="351" t="s">
        <v>198</v>
      </c>
      <c r="G16" s="351" t="s">
        <v>198</v>
      </c>
      <c r="H16" s="351" t="s">
        <v>198</v>
      </c>
      <c r="I16" s="351" t="s">
        <v>198</v>
      </c>
      <c r="J16" s="351" t="s">
        <v>198</v>
      </c>
      <c r="K16" s="351" t="s">
        <v>198</v>
      </c>
      <c r="L16" s="351" t="s">
        <v>198</v>
      </c>
      <c r="M16" s="351" t="s">
        <v>198</v>
      </c>
      <c r="N16" s="351"/>
      <c r="O16" s="351">
        <f>N15+M12</f>
        <v>35928.000000000007</v>
      </c>
      <c r="P16" s="353">
        <f>Tabla39[Masa de mosto acumulada '[kg']]+Tabla3941[Masa de mosto acumulada '[kg']]+Tabla394142[Masa de mosto acumulada '[kg'] (Mh)]</f>
        <v>459.94198026609365</v>
      </c>
      <c r="Q16" s="351" t="s">
        <v>198</v>
      </c>
      <c r="R16" s="351" t="s">
        <v>198</v>
      </c>
      <c r="S16" s="351" t="s">
        <v>198</v>
      </c>
      <c r="T16" s="155">
        <f>O16-Q17-P16</f>
        <v>32401.778151293292</v>
      </c>
      <c r="U16" s="155">
        <f>T16</f>
        <v>32401.778151293292</v>
      </c>
      <c r="V16" s="351" t="s">
        <v>198</v>
      </c>
      <c r="W16" s="351" t="s">
        <v>198</v>
      </c>
      <c r="X16" s="155">
        <f>U16-W19</f>
        <v>32401.778151293292</v>
      </c>
      <c r="Y16" s="155">
        <f>X16</f>
        <v>32401.778151293292</v>
      </c>
      <c r="Z16" s="351" t="s">
        <v>198</v>
      </c>
      <c r="AA16" s="155">
        <f>'Balance de Masa Global'!P17+'Balance de Masa Global'!P47+'Balance de Masa Global'!P75</f>
        <v>0</v>
      </c>
      <c r="AB16" s="155">
        <f>Y16-AA16</f>
        <v>32401.778151293292</v>
      </c>
      <c r="AC16" s="155">
        <f>AB16</f>
        <v>32401.778151293292</v>
      </c>
      <c r="AD16" s="351" t="s">
        <v>198</v>
      </c>
      <c r="AE16" s="351" t="s">
        <v>198</v>
      </c>
      <c r="AF16" s="351" t="s">
        <v>198</v>
      </c>
      <c r="AG16" s="155">
        <f>Maduración!D7+Maduración!D8+Maduración!D9</f>
        <v>31794.804030225412</v>
      </c>
      <c r="AH16" s="351" t="s">
        <v>198</v>
      </c>
      <c r="AI16" s="351" t="s">
        <v>198</v>
      </c>
      <c r="AJ16" s="351" t="s">
        <v>198</v>
      </c>
      <c r="AK16" s="351" t="s">
        <v>198</v>
      </c>
      <c r="AL16" s="351" t="s">
        <v>198</v>
      </c>
      <c r="AM16" s="351" t="s">
        <v>198</v>
      </c>
      <c r="AN16" s="351" t="s">
        <v>198</v>
      </c>
      <c r="AO16" s="351" t="s">
        <v>198</v>
      </c>
      <c r="AP16" s="351" t="s">
        <v>198</v>
      </c>
      <c r="AQ16" s="351" t="s">
        <v>198</v>
      </c>
      <c r="AR16" s="351" t="s">
        <v>198</v>
      </c>
      <c r="AS16" s="351" t="s">
        <v>198</v>
      </c>
      <c r="AT16" s="351" t="s">
        <v>198</v>
      </c>
      <c r="AU16" s="351" t="s">
        <v>198</v>
      </c>
      <c r="AV16" s="351" t="s">
        <v>198</v>
      </c>
      <c r="AW16" s="351" t="s">
        <v>198</v>
      </c>
    </row>
    <row r="17" spans="1:49" x14ac:dyDescent="0.25">
      <c r="A17" s="351" t="s">
        <v>782</v>
      </c>
      <c r="B17" s="351" t="s">
        <v>198</v>
      </c>
      <c r="C17" s="351" t="s">
        <v>198</v>
      </c>
      <c r="D17" s="351" t="s">
        <v>198</v>
      </c>
      <c r="E17" s="351" t="s">
        <v>198</v>
      </c>
      <c r="F17" s="351" t="s">
        <v>198</v>
      </c>
      <c r="G17" s="351" t="s">
        <v>198</v>
      </c>
      <c r="H17" s="351" t="s">
        <v>198</v>
      </c>
      <c r="I17" s="351" t="s">
        <v>198</v>
      </c>
      <c r="J17" s="351" t="s">
        <v>198</v>
      </c>
      <c r="K17" s="351" t="s">
        <v>198</v>
      </c>
      <c r="L17" s="351" t="s">
        <v>198</v>
      </c>
      <c r="M17" s="351" t="s">
        <v>198</v>
      </c>
      <c r="N17" s="351" t="s">
        <v>198</v>
      </c>
      <c r="O17" s="351" t="s">
        <v>198</v>
      </c>
      <c r="P17" s="351" t="s">
        <v>198</v>
      </c>
      <c r="Q17" s="353">
        <f>Tabla39[Masa de sólido Acumulada '[kg']]+Tabla3941[Masa de sólido Acumulada '[kg']]+Tabla394142[Masa de sólido Acumulada '[kg'] (Cs)]</f>
        <v>3066.2798684406248</v>
      </c>
      <c r="R17" s="155">
        <f>Caldera!G144</f>
        <v>1156.047534331429</v>
      </c>
      <c r="S17" s="155">
        <f>Q17-R17</f>
        <v>1910.2323341091958</v>
      </c>
      <c r="T17" s="351" t="s">
        <v>198</v>
      </c>
      <c r="U17" s="351" t="s">
        <v>198</v>
      </c>
      <c r="V17" s="351" t="s">
        <v>198</v>
      </c>
      <c r="W17" s="351" t="s">
        <v>198</v>
      </c>
      <c r="X17" s="351" t="s">
        <v>198</v>
      </c>
      <c r="Y17" s="351" t="s">
        <v>198</v>
      </c>
      <c r="Z17" s="155">
        <f>'Balance de Masa Global'!S47+'Balance de Masa Global'!S75+'Balance de Masa Global'!S17</f>
        <v>1077.7509122855636</v>
      </c>
      <c r="AA17" s="351" t="s">
        <v>198</v>
      </c>
      <c r="AB17" s="351" t="s">
        <v>198</v>
      </c>
      <c r="AC17" s="351" t="s">
        <v>198</v>
      </c>
      <c r="AD17" s="351" t="s">
        <v>198</v>
      </c>
      <c r="AE17" s="351" t="s">
        <v>198</v>
      </c>
      <c r="AF17" s="351" t="s">
        <v>198</v>
      </c>
      <c r="AG17" s="351" t="s">
        <v>198</v>
      </c>
      <c r="AH17" s="351" t="s">
        <v>198</v>
      </c>
      <c r="AI17" s="351" t="s">
        <v>198</v>
      </c>
      <c r="AJ17" s="351" t="s">
        <v>198</v>
      </c>
      <c r="AK17" s="351" t="s">
        <v>198</v>
      </c>
      <c r="AL17" s="351" t="s">
        <v>198</v>
      </c>
      <c r="AM17" s="351" t="s">
        <v>198</v>
      </c>
      <c r="AN17" s="351" t="s">
        <v>198</v>
      </c>
      <c r="AO17" s="351" t="s">
        <v>198</v>
      </c>
      <c r="AP17" s="351" t="s">
        <v>198</v>
      </c>
      <c r="AQ17" s="351" t="s">
        <v>198</v>
      </c>
      <c r="AR17" s="351" t="s">
        <v>198</v>
      </c>
      <c r="AS17" s="351" t="s">
        <v>198</v>
      </c>
      <c r="AT17" s="351" t="s">
        <v>198</v>
      </c>
      <c r="AU17" s="351" t="s">
        <v>198</v>
      </c>
      <c r="AV17" s="351" t="s">
        <v>198</v>
      </c>
      <c r="AW17" s="351" t="s">
        <v>198</v>
      </c>
    </row>
    <row r="18" spans="1:49" x14ac:dyDescent="0.25">
      <c r="A18" s="351" t="s">
        <v>775</v>
      </c>
      <c r="B18" s="351" t="s">
        <v>198</v>
      </c>
      <c r="C18" s="351" t="s">
        <v>198</v>
      </c>
      <c r="D18" s="351" t="s">
        <v>198</v>
      </c>
      <c r="E18" s="351" t="s">
        <v>198</v>
      </c>
      <c r="F18" s="351" t="s">
        <v>198</v>
      </c>
      <c r="G18" s="351" t="s">
        <v>198</v>
      </c>
      <c r="H18" s="351" t="s">
        <v>198</v>
      </c>
      <c r="I18" s="351" t="s">
        <v>198</v>
      </c>
      <c r="J18" s="351" t="s">
        <v>198</v>
      </c>
      <c r="K18" s="351" t="s">
        <v>198</v>
      </c>
      <c r="L18" s="351" t="s">
        <v>198</v>
      </c>
      <c r="M18" s="351" t="s">
        <v>198</v>
      </c>
      <c r="N18" s="351" t="s">
        <v>198</v>
      </c>
      <c r="O18" s="351" t="s">
        <v>198</v>
      </c>
      <c r="P18" s="351" t="s">
        <v>198</v>
      </c>
      <c r="Q18" s="351" t="s">
        <v>198</v>
      </c>
      <c r="R18" s="351" t="s">
        <v>198</v>
      </c>
      <c r="S18" s="351" t="s">
        <v>198</v>
      </c>
      <c r="T18" s="351" t="s">
        <v>198</v>
      </c>
      <c r="U18" s="351" t="s">
        <v>198</v>
      </c>
      <c r="V18" s="155">
        <f>'Balance de Masa Global'!D44+'Balance de Masa Global'!D72+'Balance de Masa Global'!D14</f>
        <v>1046.7783883619209</v>
      </c>
      <c r="W18" s="351"/>
      <c r="X18" s="155">
        <f>V18</f>
        <v>1046.7783883619209</v>
      </c>
      <c r="Y18" s="155">
        <f>X18</f>
        <v>1046.7783883619209</v>
      </c>
      <c r="Z18" s="351" t="s">
        <v>198</v>
      </c>
      <c r="AA18" s="351" t="s">
        <v>198</v>
      </c>
      <c r="AB18" s="351" t="s">
        <v>198</v>
      </c>
      <c r="AC18" s="351" t="s">
        <v>198</v>
      </c>
      <c r="AD18" s="351" t="s">
        <v>198</v>
      </c>
      <c r="AE18" s="351" t="s">
        <v>198</v>
      </c>
      <c r="AF18" s="351" t="s">
        <v>198</v>
      </c>
      <c r="AG18" s="351" t="s">
        <v>198</v>
      </c>
      <c r="AH18" s="351" t="s">
        <v>198</v>
      </c>
      <c r="AI18" s="351" t="s">
        <v>198</v>
      </c>
      <c r="AJ18" s="351" t="s">
        <v>198</v>
      </c>
      <c r="AK18" s="351" t="s">
        <v>198</v>
      </c>
      <c r="AL18" s="351" t="s">
        <v>198</v>
      </c>
      <c r="AM18" s="351" t="s">
        <v>198</v>
      </c>
      <c r="AN18" s="351" t="s">
        <v>198</v>
      </c>
      <c r="AO18" s="351" t="s">
        <v>198</v>
      </c>
      <c r="AP18" s="351" t="s">
        <v>198</v>
      </c>
      <c r="AQ18" s="351" t="s">
        <v>198</v>
      </c>
      <c r="AR18" s="351" t="s">
        <v>198</v>
      </c>
      <c r="AS18" s="351" t="s">
        <v>198</v>
      </c>
      <c r="AT18" s="351" t="s">
        <v>198</v>
      </c>
      <c r="AU18" s="351" t="s">
        <v>198</v>
      </c>
      <c r="AV18" s="351" t="s">
        <v>198</v>
      </c>
      <c r="AW18" s="351" t="s">
        <v>198</v>
      </c>
    </row>
    <row r="19" spans="1:49" x14ac:dyDescent="0.25">
      <c r="A19" s="351" t="s">
        <v>1207</v>
      </c>
      <c r="B19" s="351" t="s">
        <v>198</v>
      </c>
      <c r="C19" s="351" t="s">
        <v>198</v>
      </c>
      <c r="D19" s="351" t="s">
        <v>198</v>
      </c>
      <c r="E19" s="351" t="s">
        <v>198</v>
      </c>
      <c r="F19" s="351" t="s">
        <v>198</v>
      </c>
      <c r="G19" s="351" t="s">
        <v>198</v>
      </c>
      <c r="H19" s="351" t="s">
        <v>198</v>
      </c>
      <c r="I19" s="351" t="s">
        <v>198</v>
      </c>
      <c r="J19" s="351" t="s">
        <v>198</v>
      </c>
      <c r="K19" s="351" t="s">
        <v>198</v>
      </c>
      <c r="L19" s="351" t="s">
        <v>198</v>
      </c>
      <c r="M19" s="351" t="s">
        <v>198</v>
      </c>
      <c r="N19" s="351" t="s">
        <v>198</v>
      </c>
      <c r="O19" s="351" t="s">
        <v>198</v>
      </c>
      <c r="P19" s="351" t="s">
        <v>198</v>
      </c>
      <c r="Q19" s="351" t="s">
        <v>198</v>
      </c>
      <c r="R19" s="351" t="s">
        <v>198</v>
      </c>
      <c r="S19" s="351" t="s">
        <v>198</v>
      </c>
      <c r="T19" s="351" t="s">
        <v>198</v>
      </c>
      <c r="U19" s="351" t="s">
        <v>198</v>
      </c>
      <c r="V19" s="351" t="s">
        <v>198</v>
      </c>
      <c r="W19" s="155">
        <f>'Balance de Masa Global'!P14+'Balance de Masa Global'!P44+'Balance de Masa Global'!P72</f>
        <v>0</v>
      </c>
      <c r="X19" s="351" t="s">
        <v>198</v>
      </c>
      <c r="Y19" s="351" t="s">
        <v>198</v>
      </c>
      <c r="Z19" s="351" t="s">
        <v>198</v>
      </c>
      <c r="AA19" s="351" t="s">
        <v>198</v>
      </c>
      <c r="AB19" s="351" t="s">
        <v>198</v>
      </c>
      <c r="AC19" s="351" t="s">
        <v>198</v>
      </c>
      <c r="AD19" s="351" t="s">
        <v>198</v>
      </c>
      <c r="AE19" s="351" t="s">
        <v>198</v>
      </c>
      <c r="AF19" s="351" t="s">
        <v>198</v>
      </c>
      <c r="AG19" s="351" t="s">
        <v>198</v>
      </c>
      <c r="AH19" s="351" t="s">
        <v>198</v>
      </c>
      <c r="AI19" s="351" t="s">
        <v>198</v>
      </c>
      <c r="AJ19" s="351" t="s">
        <v>198</v>
      </c>
      <c r="AK19" s="351" t="s">
        <v>198</v>
      </c>
      <c r="AL19" s="351" t="s">
        <v>198</v>
      </c>
      <c r="AM19" s="351" t="s">
        <v>198</v>
      </c>
      <c r="AN19" s="351" t="s">
        <v>198</v>
      </c>
      <c r="AO19" s="351" t="s">
        <v>198</v>
      </c>
      <c r="AP19" s="155">
        <f>'Balance de Masa Global'!P15+'Balance de Masa Global'!P73+'Balance de Masa Global'!P45</f>
        <v>0</v>
      </c>
      <c r="AQ19" s="351" t="s">
        <v>198</v>
      </c>
      <c r="AR19" s="155">
        <f>Caldera!G149</f>
        <v>8963.2133333333331</v>
      </c>
      <c r="AS19" s="155">
        <f>AR19</f>
        <v>8963.2133333333331</v>
      </c>
      <c r="AT19" s="351" t="s">
        <v>198</v>
      </c>
      <c r="AU19" s="351" t="s">
        <v>198</v>
      </c>
      <c r="AV19" s="351" t="s">
        <v>198</v>
      </c>
      <c r="AW19" s="351" t="s">
        <v>198</v>
      </c>
    </row>
    <row r="20" spans="1:49" x14ac:dyDescent="0.25">
      <c r="A20" s="351" t="s">
        <v>444</v>
      </c>
      <c r="B20" s="351" t="s">
        <v>198</v>
      </c>
      <c r="C20" s="351" t="s">
        <v>198</v>
      </c>
      <c r="D20" s="351" t="s">
        <v>198</v>
      </c>
      <c r="E20" s="351" t="s">
        <v>198</v>
      </c>
      <c r="F20" s="351" t="s">
        <v>198</v>
      </c>
      <c r="G20" s="351" t="s">
        <v>198</v>
      </c>
      <c r="H20" s="351" t="s">
        <v>198</v>
      </c>
      <c r="I20" s="351" t="s">
        <v>198</v>
      </c>
      <c r="J20" s="351" t="s">
        <v>198</v>
      </c>
      <c r="K20" s="351" t="s">
        <v>198</v>
      </c>
      <c r="L20" s="351" t="s">
        <v>198</v>
      </c>
      <c r="M20" s="351" t="s">
        <v>198</v>
      </c>
      <c r="N20" s="351" t="s">
        <v>198</v>
      </c>
      <c r="O20" s="351" t="s">
        <v>198</v>
      </c>
      <c r="P20" s="351" t="s">
        <v>198</v>
      </c>
      <c r="Q20" s="351" t="s">
        <v>198</v>
      </c>
      <c r="R20" s="351" t="s">
        <v>198</v>
      </c>
      <c r="S20" s="351" t="s">
        <v>198</v>
      </c>
      <c r="T20" s="351" t="s">
        <v>198</v>
      </c>
      <c r="U20" s="351" t="s">
        <v>198</v>
      </c>
      <c r="V20" s="351" t="s">
        <v>198</v>
      </c>
      <c r="W20" s="351" t="s">
        <v>198</v>
      </c>
      <c r="X20" s="351" t="s">
        <v>198</v>
      </c>
      <c r="Y20" s="351" t="s">
        <v>198</v>
      </c>
      <c r="Z20" s="351" t="s">
        <v>198</v>
      </c>
      <c r="AA20" s="351" t="s">
        <v>198</v>
      </c>
      <c r="AB20" s="351" t="s">
        <v>198</v>
      </c>
      <c r="AC20" s="351" t="s">
        <v>198</v>
      </c>
      <c r="AD20" s="155">
        <f>'Balance de Masa Global'!G48+'Balance de Masa Global'!G76+'Balance de Masa Global'!G18</f>
        <v>101.02137912731709</v>
      </c>
      <c r="AE20" s="351" t="s">
        <v>198</v>
      </c>
      <c r="AF20" s="351" t="s">
        <v>198</v>
      </c>
      <c r="AG20" s="351" t="s">
        <v>198</v>
      </c>
      <c r="AH20" s="351" t="s">
        <v>198</v>
      </c>
      <c r="AI20" s="351" t="s">
        <v>198</v>
      </c>
      <c r="AJ20" s="351" t="s">
        <v>198</v>
      </c>
      <c r="AK20" s="351" t="s">
        <v>198</v>
      </c>
      <c r="AL20" s="351" t="s">
        <v>198</v>
      </c>
      <c r="AM20" s="351" t="s">
        <v>198</v>
      </c>
      <c r="AN20" s="351" t="s">
        <v>198</v>
      </c>
      <c r="AO20" s="351" t="s">
        <v>198</v>
      </c>
      <c r="AP20" s="351" t="s">
        <v>198</v>
      </c>
      <c r="AQ20" s="351" t="s">
        <v>198</v>
      </c>
      <c r="AR20" s="351" t="s">
        <v>198</v>
      </c>
      <c r="AS20" s="351" t="s">
        <v>198</v>
      </c>
      <c r="AT20" s="351" t="s">
        <v>198</v>
      </c>
      <c r="AU20" s="351" t="s">
        <v>198</v>
      </c>
      <c r="AV20" s="351" t="s">
        <v>198</v>
      </c>
      <c r="AW20" s="351" t="s">
        <v>198</v>
      </c>
    </row>
    <row r="21" spans="1:49" x14ac:dyDescent="0.25">
      <c r="A21" s="351" t="s">
        <v>443</v>
      </c>
      <c r="B21" s="351" t="s">
        <v>198</v>
      </c>
      <c r="C21" s="351" t="s">
        <v>198</v>
      </c>
      <c r="D21" s="351" t="s">
        <v>198</v>
      </c>
      <c r="E21" s="351" t="s">
        <v>198</v>
      </c>
      <c r="F21" s="351" t="s">
        <v>198</v>
      </c>
      <c r="G21" s="351" t="s">
        <v>198</v>
      </c>
      <c r="H21" s="351" t="s">
        <v>198</v>
      </c>
      <c r="I21" s="351" t="s">
        <v>198</v>
      </c>
      <c r="J21" s="351" t="s">
        <v>198</v>
      </c>
      <c r="K21" s="351" t="s">
        <v>198</v>
      </c>
      <c r="L21" s="351" t="s">
        <v>198</v>
      </c>
      <c r="M21" s="351" t="s">
        <v>198</v>
      </c>
      <c r="N21" s="351" t="s">
        <v>198</v>
      </c>
      <c r="O21" s="351" t="s">
        <v>198</v>
      </c>
      <c r="P21" s="351" t="s">
        <v>198</v>
      </c>
      <c r="Q21" s="351" t="s">
        <v>198</v>
      </c>
      <c r="R21" s="351" t="s">
        <v>198</v>
      </c>
      <c r="S21" s="351" t="s">
        <v>198</v>
      </c>
      <c r="T21" s="351" t="s">
        <v>198</v>
      </c>
      <c r="U21" s="351" t="s">
        <v>198</v>
      </c>
      <c r="V21" s="351" t="s">
        <v>198</v>
      </c>
      <c r="W21" s="351" t="s">
        <v>198</v>
      </c>
      <c r="X21" s="351" t="s">
        <v>198</v>
      </c>
      <c r="Y21" s="351" t="s">
        <v>198</v>
      </c>
      <c r="Z21" s="351" t="s">
        <v>198</v>
      </c>
      <c r="AA21" s="351" t="s">
        <v>198</v>
      </c>
      <c r="AB21" s="351" t="s">
        <v>198</v>
      </c>
      <c r="AC21" s="351" t="s">
        <v>198</v>
      </c>
      <c r="AD21" s="351" t="s">
        <v>198</v>
      </c>
      <c r="AE21" s="353">
        <f>'Balance de Masa Global'!I18+'Balance de Masa Global'!I48+'Balance de Masa Global'!I76</f>
        <v>30.871437225086346</v>
      </c>
      <c r="AF21" s="351" t="s">
        <v>198</v>
      </c>
      <c r="AG21" s="351" t="s">
        <v>198</v>
      </c>
      <c r="AH21" s="351" t="s">
        <v>198</v>
      </c>
      <c r="AI21" s="351" t="s">
        <v>198</v>
      </c>
      <c r="AJ21" s="351" t="s">
        <v>198</v>
      </c>
      <c r="AK21" s="351" t="s">
        <v>198</v>
      </c>
      <c r="AL21" s="351" t="s">
        <v>198</v>
      </c>
      <c r="AM21" s="351" t="s">
        <v>198</v>
      </c>
      <c r="AN21" s="351" t="s">
        <v>198</v>
      </c>
      <c r="AO21" s="351" t="s">
        <v>198</v>
      </c>
      <c r="AP21" s="351" t="s">
        <v>198</v>
      </c>
      <c r="AQ21" s="351" t="s">
        <v>198</v>
      </c>
      <c r="AR21" s="351" t="s">
        <v>198</v>
      </c>
      <c r="AS21" s="351" t="s">
        <v>198</v>
      </c>
      <c r="AT21" s="351" t="s">
        <v>198</v>
      </c>
      <c r="AU21" s="351" t="s">
        <v>198</v>
      </c>
      <c r="AV21" s="351" t="s">
        <v>198</v>
      </c>
      <c r="AW21" s="351" t="s">
        <v>198</v>
      </c>
    </row>
    <row r="22" spans="1:49" x14ac:dyDescent="0.25">
      <c r="A22" s="351" t="s">
        <v>776</v>
      </c>
      <c r="B22" s="351" t="s">
        <v>198</v>
      </c>
      <c r="C22" s="351" t="s">
        <v>198</v>
      </c>
      <c r="D22" s="351" t="s">
        <v>198</v>
      </c>
      <c r="E22" s="351" t="s">
        <v>198</v>
      </c>
      <c r="F22" s="351" t="s">
        <v>198</v>
      </c>
      <c r="G22" s="351" t="s">
        <v>198</v>
      </c>
      <c r="H22" s="351" t="s">
        <v>198</v>
      </c>
      <c r="I22" s="351" t="s">
        <v>198</v>
      </c>
      <c r="J22" s="351" t="s">
        <v>198</v>
      </c>
      <c r="K22" s="351" t="s">
        <v>198</v>
      </c>
      <c r="L22" s="351" t="s">
        <v>198</v>
      </c>
      <c r="M22" s="351" t="s">
        <v>198</v>
      </c>
      <c r="N22" s="351" t="s">
        <v>198</v>
      </c>
      <c r="O22" s="351" t="s">
        <v>198</v>
      </c>
      <c r="P22" s="351" t="s">
        <v>198</v>
      </c>
      <c r="Q22" s="351" t="s">
        <v>198</v>
      </c>
      <c r="R22" s="351" t="s">
        <v>198</v>
      </c>
      <c r="S22" s="351" t="s">
        <v>198</v>
      </c>
      <c r="T22" s="351" t="s">
        <v>198</v>
      </c>
      <c r="U22" s="351" t="s">
        <v>198</v>
      </c>
      <c r="V22" s="351" t="s">
        <v>198</v>
      </c>
      <c r="W22" s="351" t="s">
        <v>198</v>
      </c>
      <c r="X22" s="351" t="s">
        <v>198</v>
      </c>
      <c r="Y22" s="351" t="s">
        <v>198</v>
      </c>
      <c r="Z22" s="351" t="s">
        <v>198</v>
      </c>
      <c r="AA22" s="351" t="s">
        <v>198</v>
      </c>
      <c r="AB22" s="351" t="s">
        <v>198</v>
      </c>
      <c r="AC22" s="351" t="s">
        <v>198</v>
      </c>
      <c r="AD22" s="351" t="s">
        <v>198</v>
      </c>
      <c r="AE22" s="351" t="s">
        <v>198</v>
      </c>
      <c r="AF22" s="353">
        <f>'Balance de Masa Global'!E18+'Balance de Masa Global'!E48+'Balance de Masa Global'!E76</f>
        <v>90.598102364363683</v>
      </c>
      <c r="AG22" s="351" t="s">
        <v>198</v>
      </c>
      <c r="AH22" s="155">
        <f>'Secador rotatorio'!G47</f>
        <v>1255.9367681637621</v>
      </c>
      <c r="AI22" s="351" t="s">
        <v>198</v>
      </c>
      <c r="AJ22" s="351" t="s">
        <v>198</v>
      </c>
      <c r="AK22" s="351" t="s">
        <v>198</v>
      </c>
      <c r="AL22" s="351" t="s">
        <v>198</v>
      </c>
      <c r="AM22" s="155">
        <f>'Balance de Masa Global'!O77+'Balance de Masa Global'!O49+'Balance de Masa Global'!O19</f>
        <v>377.7163025105271</v>
      </c>
      <c r="AN22" s="351" t="s">
        <v>198</v>
      </c>
      <c r="AO22" s="351" t="s">
        <v>198</v>
      </c>
      <c r="AP22" s="351" t="s">
        <v>198</v>
      </c>
      <c r="AQ22" s="351" t="s">
        <v>198</v>
      </c>
      <c r="AR22" s="351" t="s">
        <v>198</v>
      </c>
      <c r="AS22" s="351" t="s">
        <v>198</v>
      </c>
      <c r="AT22" s="351" t="s">
        <v>198</v>
      </c>
      <c r="AU22" s="351" t="s">
        <v>198</v>
      </c>
      <c r="AV22" s="351" t="s">
        <v>198</v>
      </c>
      <c r="AW22" s="351" t="s">
        <v>198</v>
      </c>
    </row>
    <row r="23" spans="1:49" x14ac:dyDescent="0.25">
      <c r="A23" s="351" t="s">
        <v>777</v>
      </c>
      <c r="B23" s="351" t="s">
        <v>198</v>
      </c>
      <c r="C23" s="351" t="s">
        <v>198</v>
      </c>
      <c r="D23" s="351" t="s">
        <v>198</v>
      </c>
      <c r="E23" s="351" t="s">
        <v>198</v>
      </c>
      <c r="F23" s="351" t="s">
        <v>198</v>
      </c>
      <c r="G23" s="351" t="s">
        <v>198</v>
      </c>
      <c r="H23" s="351" t="s">
        <v>198</v>
      </c>
      <c r="I23" s="351" t="s">
        <v>198</v>
      </c>
      <c r="J23" s="351" t="s">
        <v>198</v>
      </c>
      <c r="K23" s="351" t="s">
        <v>198</v>
      </c>
      <c r="L23" s="351" t="s">
        <v>198</v>
      </c>
      <c r="M23" s="351" t="s">
        <v>198</v>
      </c>
      <c r="N23" s="351" t="s">
        <v>198</v>
      </c>
      <c r="O23" s="351" t="s">
        <v>198</v>
      </c>
      <c r="P23" s="351" t="s">
        <v>198</v>
      </c>
      <c r="Q23" s="351" t="s">
        <v>198</v>
      </c>
      <c r="R23" s="351" t="s">
        <v>198</v>
      </c>
      <c r="S23" s="351" t="s">
        <v>198</v>
      </c>
      <c r="T23" s="351" t="s">
        <v>198</v>
      </c>
      <c r="U23" s="351" t="s">
        <v>198</v>
      </c>
      <c r="V23" s="351" t="s">
        <v>198</v>
      </c>
      <c r="W23" s="351" t="s">
        <v>198</v>
      </c>
      <c r="X23" s="351" t="s">
        <v>198</v>
      </c>
      <c r="Y23" s="351" t="s">
        <v>198</v>
      </c>
      <c r="Z23" s="351" t="s">
        <v>198</v>
      </c>
      <c r="AA23" s="351" t="s">
        <v>198</v>
      </c>
      <c r="AB23" s="351" t="s">
        <v>198</v>
      </c>
      <c r="AC23" s="351" t="s">
        <v>198</v>
      </c>
      <c r="AD23" s="351" t="s">
        <v>198</v>
      </c>
      <c r="AE23" s="351" t="s">
        <v>198</v>
      </c>
      <c r="AF23" s="351" t="s">
        <v>198</v>
      </c>
      <c r="AG23" s="351" t="s">
        <v>198</v>
      </c>
      <c r="AH23" s="351" t="s">
        <v>198</v>
      </c>
      <c r="AI23" s="155">
        <f>Maduración!E8+Maduración!E9</f>
        <v>3900.4331725785287</v>
      </c>
      <c r="AJ23" s="351" t="s">
        <v>198</v>
      </c>
      <c r="AK23" s="155">
        <f>'Balance de Masa Global'!U50+'Balance de Masa Global'!U78</f>
        <v>3900.4331725785287</v>
      </c>
      <c r="AL23" s="351" t="s">
        <v>198</v>
      </c>
      <c r="AM23" s="351" t="s">
        <v>198</v>
      </c>
      <c r="AN23" s="351" t="s">
        <v>198</v>
      </c>
      <c r="AO23" s="351" t="s">
        <v>198</v>
      </c>
      <c r="AP23" s="351" t="s">
        <v>198</v>
      </c>
      <c r="AQ23" s="351" t="s">
        <v>198</v>
      </c>
      <c r="AR23" s="351" t="s">
        <v>198</v>
      </c>
      <c r="AS23" s="351" t="s">
        <v>198</v>
      </c>
      <c r="AT23" s="351" t="s">
        <v>198</v>
      </c>
      <c r="AU23" s="351" t="s">
        <v>198</v>
      </c>
      <c r="AV23" s="351" t="s">
        <v>198</v>
      </c>
      <c r="AW23" s="351" t="s">
        <v>198</v>
      </c>
    </row>
    <row r="24" spans="1:49" x14ac:dyDescent="0.25">
      <c r="A24" s="351" t="s">
        <v>504</v>
      </c>
      <c r="B24" s="351" t="s">
        <v>198</v>
      </c>
      <c r="C24" s="351" t="s">
        <v>198</v>
      </c>
      <c r="D24" s="351" t="s">
        <v>198</v>
      </c>
      <c r="E24" s="351" t="s">
        <v>198</v>
      </c>
      <c r="F24" s="351" t="s">
        <v>198</v>
      </c>
      <c r="G24" s="351" t="s">
        <v>198</v>
      </c>
      <c r="H24" s="351" t="s">
        <v>198</v>
      </c>
      <c r="I24" s="351" t="s">
        <v>198</v>
      </c>
      <c r="J24" s="351" t="s">
        <v>198</v>
      </c>
      <c r="K24" s="351" t="s">
        <v>198</v>
      </c>
      <c r="L24" s="351" t="s">
        <v>198</v>
      </c>
      <c r="M24" s="351" t="s">
        <v>198</v>
      </c>
      <c r="N24" s="351" t="s">
        <v>198</v>
      </c>
      <c r="O24" s="351" t="s">
        <v>198</v>
      </c>
      <c r="P24" s="351" t="s">
        <v>198</v>
      </c>
      <c r="Q24" s="351" t="s">
        <v>198</v>
      </c>
      <c r="R24" s="351" t="s">
        <v>198</v>
      </c>
      <c r="S24" s="351" t="s">
        <v>198</v>
      </c>
      <c r="T24" s="351" t="s">
        <v>198</v>
      </c>
      <c r="U24" s="351" t="s">
        <v>198</v>
      </c>
      <c r="V24" s="351" t="s">
        <v>198</v>
      </c>
      <c r="W24" s="351" t="s">
        <v>198</v>
      </c>
      <c r="X24" s="351" t="s">
        <v>198</v>
      </c>
      <c r="Y24" s="351" t="s">
        <v>198</v>
      </c>
      <c r="Z24" s="351" t="s">
        <v>198</v>
      </c>
      <c r="AA24" s="351" t="s">
        <v>198</v>
      </c>
      <c r="AB24" s="351" t="s">
        <v>198</v>
      </c>
      <c r="AC24" s="351" t="s">
        <v>198</v>
      </c>
      <c r="AD24" s="351" t="s">
        <v>198</v>
      </c>
      <c r="AE24" s="351" t="s">
        <v>198</v>
      </c>
      <c r="AF24" s="351" t="s">
        <v>198</v>
      </c>
      <c r="AG24" s="351" t="s">
        <v>198</v>
      </c>
      <c r="AH24" s="351" t="s">
        <v>198</v>
      </c>
      <c r="AI24" s="351" t="s">
        <v>198</v>
      </c>
      <c r="AJ24" s="155">
        <f>'Balance de Masa Global'!N50+'Balance de Masa Global'!N78+'Balance de Masa Global'!N20</f>
        <v>31794.804030225408</v>
      </c>
      <c r="AK24" s="351" t="s">
        <v>198</v>
      </c>
      <c r="AL24" s="351" t="s">
        <v>198</v>
      </c>
      <c r="AM24" s="351" t="s">
        <v>198</v>
      </c>
      <c r="AN24" s="351" t="s">
        <v>198</v>
      </c>
      <c r="AO24" s="351" t="s">
        <v>198</v>
      </c>
      <c r="AP24" s="351" t="s">
        <v>198</v>
      </c>
      <c r="AQ24" s="351" t="s">
        <v>198</v>
      </c>
      <c r="AR24" s="351" t="s">
        <v>198</v>
      </c>
      <c r="AS24" s="351" t="s">
        <v>198</v>
      </c>
      <c r="AT24" s="351" t="s">
        <v>198</v>
      </c>
      <c r="AU24" s="351" t="s">
        <v>198</v>
      </c>
      <c r="AV24" s="351" t="s">
        <v>198</v>
      </c>
      <c r="AW24" s="351" t="s">
        <v>198</v>
      </c>
    </row>
    <row r="25" spans="1:49" x14ac:dyDescent="0.25">
      <c r="A25" s="351" t="s">
        <v>494</v>
      </c>
      <c r="B25" s="351" t="s">
        <v>198</v>
      </c>
      <c r="C25" s="351" t="s">
        <v>198</v>
      </c>
      <c r="D25" s="351" t="s">
        <v>198</v>
      </c>
      <c r="E25" s="351" t="s">
        <v>198</v>
      </c>
      <c r="F25" s="351" t="s">
        <v>198</v>
      </c>
      <c r="G25" s="351" t="s">
        <v>198</v>
      </c>
      <c r="H25" s="351" t="s">
        <v>198</v>
      </c>
      <c r="I25" s="351" t="s">
        <v>198</v>
      </c>
      <c r="J25" s="351" t="s">
        <v>198</v>
      </c>
      <c r="K25" s="351" t="s">
        <v>198</v>
      </c>
      <c r="L25" s="351" t="s">
        <v>198</v>
      </c>
      <c r="M25" s="351" t="s">
        <v>198</v>
      </c>
      <c r="N25" s="351" t="s">
        <v>198</v>
      </c>
      <c r="O25" s="351" t="s">
        <v>198</v>
      </c>
      <c r="P25" s="351" t="s">
        <v>198</v>
      </c>
      <c r="Q25" s="351" t="s">
        <v>198</v>
      </c>
      <c r="R25" s="351" t="s">
        <v>198</v>
      </c>
      <c r="S25" s="351" t="s">
        <v>198</v>
      </c>
      <c r="T25" s="351" t="s">
        <v>198</v>
      </c>
      <c r="U25" s="351" t="s">
        <v>198</v>
      </c>
      <c r="V25" s="351" t="s">
        <v>198</v>
      </c>
      <c r="W25" s="351" t="s">
        <v>198</v>
      </c>
      <c r="X25" s="351" t="s">
        <v>198</v>
      </c>
      <c r="Y25" s="351" t="s">
        <v>198</v>
      </c>
      <c r="Z25" s="351" t="s">
        <v>198</v>
      </c>
      <c r="AA25" s="351" t="s">
        <v>198</v>
      </c>
      <c r="AB25" s="351" t="s">
        <v>198</v>
      </c>
      <c r="AC25" s="351" t="s">
        <v>198</v>
      </c>
      <c r="AD25" s="351" t="s">
        <v>198</v>
      </c>
      <c r="AE25" s="351" t="s">
        <v>198</v>
      </c>
      <c r="AF25" s="351" t="s">
        <v>198</v>
      </c>
      <c r="AG25" s="351" t="s">
        <v>198</v>
      </c>
      <c r="AH25" s="351" t="s">
        <v>198</v>
      </c>
      <c r="AI25" s="351" t="s">
        <v>198</v>
      </c>
      <c r="AJ25" s="351" t="s">
        <v>198</v>
      </c>
      <c r="AK25" s="351" t="s">
        <v>198</v>
      </c>
      <c r="AL25" s="351" t="s">
        <v>198</v>
      </c>
      <c r="AM25" s="351" t="s">
        <v>198</v>
      </c>
      <c r="AN25" s="155">
        <f>Caldera!K122+Caldera!L122</f>
        <v>9137599.4850542992</v>
      </c>
      <c r="AO25" s="351" t="s">
        <v>198</v>
      </c>
      <c r="AP25" s="351" t="s">
        <v>198</v>
      </c>
      <c r="AQ25" s="155">
        <f>Caldera!P122+Caldera!Q122</f>
        <v>9136011.8464404847</v>
      </c>
      <c r="AR25" s="351"/>
      <c r="AS25" s="351"/>
      <c r="AT25" s="351"/>
      <c r="AU25" s="351"/>
      <c r="AV25" s="351"/>
      <c r="AW25" s="351"/>
    </row>
    <row r="26" spans="1:49" x14ac:dyDescent="0.25">
      <c r="A26" s="351" t="s">
        <v>231</v>
      </c>
      <c r="B26" s="351" t="s">
        <v>198</v>
      </c>
      <c r="C26" s="351" t="s">
        <v>198</v>
      </c>
      <c r="D26" s="351" t="s">
        <v>198</v>
      </c>
      <c r="E26" s="351" t="s">
        <v>198</v>
      </c>
      <c r="F26" s="351" t="s">
        <v>198</v>
      </c>
      <c r="G26" s="351" t="s">
        <v>198</v>
      </c>
      <c r="H26" s="351" t="s">
        <v>198</v>
      </c>
      <c r="I26" s="351" t="s">
        <v>198</v>
      </c>
      <c r="J26" s="351" t="s">
        <v>198</v>
      </c>
      <c r="K26" s="351" t="s">
        <v>198</v>
      </c>
      <c r="L26" s="351" t="s">
        <v>198</v>
      </c>
      <c r="M26" s="351" t="s">
        <v>198</v>
      </c>
      <c r="N26" s="351" t="s">
        <v>198</v>
      </c>
      <c r="O26" s="351" t="s">
        <v>198</v>
      </c>
      <c r="P26" s="351" t="s">
        <v>198</v>
      </c>
      <c r="Q26" s="351" t="s">
        <v>198</v>
      </c>
      <c r="R26" s="351" t="s">
        <v>198</v>
      </c>
      <c r="S26" s="351" t="s">
        <v>198</v>
      </c>
      <c r="T26" s="351" t="s">
        <v>198</v>
      </c>
      <c r="U26" s="351" t="s">
        <v>198</v>
      </c>
      <c r="V26" s="351" t="s">
        <v>198</v>
      </c>
      <c r="W26" s="351" t="s">
        <v>198</v>
      </c>
      <c r="X26" s="351" t="s">
        <v>198</v>
      </c>
      <c r="Y26" s="351" t="s">
        <v>198</v>
      </c>
      <c r="Z26" s="351" t="s">
        <v>198</v>
      </c>
      <c r="AA26" s="351" t="s">
        <v>198</v>
      </c>
      <c r="AB26" s="351" t="s">
        <v>198</v>
      </c>
      <c r="AC26" s="351" t="s">
        <v>198</v>
      </c>
      <c r="AD26" s="351" t="s">
        <v>198</v>
      </c>
      <c r="AE26" s="351" t="s">
        <v>198</v>
      </c>
      <c r="AF26" s="351" t="s">
        <v>198</v>
      </c>
      <c r="AG26" s="351" t="s">
        <v>198</v>
      </c>
      <c r="AH26" s="351" t="s">
        <v>198</v>
      </c>
      <c r="AI26" s="351" t="s">
        <v>198</v>
      </c>
      <c r="AJ26" s="351" t="s">
        <v>198</v>
      </c>
      <c r="AK26" s="351" t="s">
        <v>198</v>
      </c>
      <c r="AL26" s="351" t="s">
        <v>198</v>
      </c>
      <c r="AM26" s="351" t="s">
        <v>198</v>
      </c>
      <c r="AN26" s="351" t="s">
        <v>198</v>
      </c>
      <c r="AO26" s="155">
        <f>'Balance de Masa Global'!R15+'Balance de Masa Global'!R45+'Balance de Masa Global'!R73</f>
        <v>2119.4204796076201</v>
      </c>
      <c r="AP26" s="351" t="s">
        <v>198</v>
      </c>
      <c r="AQ26" s="351" t="s">
        <v>198</v>
      </c>
      <c r="AR26" s="351" t="s">
        <v>198</v>
      </c>
      <c r="AS26" s="351" t="s">
        <v>198</v>
      </c>
      <c r="AT26" s="351" t="s">
        <v>198</v>
      </c>
      <c r="AU26" s="351" t="s">
        <v>198</v>
      </c>
      <c r="AV26" s="351" t="s">
        <v>198</v>
      </c>
      <c r="AW26" s="351" t="s">
        <v>198</v>
      </c>
    </row>
    <row r="27" spans="1:49" x14ac:dyDescent="0.25">
      <c r="A27" s="352"/>
      <c r="B27" s="352"/>
      <c r="C27" s="352"/>
      <c r="D27" s="352"/>
      <c r="E27" s="352"/>
      <c r="F27" s="352"/>
      <c r="G27" s="352"/>
      <c r="H27" s="352"/>
      <c r="I27" s="352"/>
      <c r="J27" s="352"/>
      <c r="K27" s="352"/>
      <c r="L27" s="352"/>
      <c r="M27" s="352"/>
      <c r="N27" s="352"/>
      <c r="O27" s="352"/>
      <c r="P27" s="352"/>
      <c r="Q27" s="352"/>
      <c r="R27" s="352"/>
      <c r="S27" s="352"/>
      <c r="T27" s="352"/>
      <c r="U27" s="352"/>
      <c r="V27" s="352"/>
      <c r="W27" s="352"/>
      <c r="X27" s="352"/>
      <c r="Y27" s="352"/>
      <c r="Z27" s="352"/>
      <c r="AA27" s="352"/>
      <c r="AB27" s="352"/>
      <c r="AC27" s="352"/>
      <c r="AD27" s="352"/>
      <c r="AE27" s="352"/>
      <c r="AF27" s="352"/>
      <c r="AG27" s="352"/>
      <c r="AH27" s="352"/>
      <c r="AI27" s="352"/>
      <c r="AJ27" s="352"/>
      <c r="AK27" s="352"/>
      <c r="AL27" s="352"/>
      <c r="AM27" s="352"/>
      <c r="AN27" s="352"/>
      <c r="AO27" s="352"/>
      <c r="AP27" s="352"/>
      <c r="AQ27" s="352"/>
      <c r="AR27" s="352"/>
      <c r="AS27" s="352"/>
      <c r="AT27" s="352"/>
      <c r="AU27" s="352"/>
      <c r="AV27" s="352"/>
      <c r="AW27" s="352"/>
    </row>
    <row r="28" spans="1:49"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row>
    <row r="29" spans="1:49"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row>
    <row r="30" spans="1:49"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row>
    <row r="33" spans="1:49" x14ac:dyDescent="0.25">
      <c r="A33" s="351"/>
      <c r="B33" s="351"/>
      <c r="C33" s="351"/>
      <c r="D33" s="351"/>
      <c r="E33" s="351"/>
      <c r="F33" s="351"/>
      <c r="G33" s="351"/>
      <c r="H33" s="351"/>
      <c r="I33" s="351"/>
      <c r="J33" s="351"/>
      <c r="K33" s="351"/>
      <c r="L33" s="351"/>
      <c r="M33" s="351"/>
      <c r="N33" s="351"/>
      <c r="O33" s="351"/>
      <c r="P33" s="351"/>
      <c r="Q33" s="351"/>
      <c r="R33" s="351"/>
      <c r="S33" s="351"/>
      <c r="T33" s="351"/>
      <c r="U33" s="351"/>
      <c r="V33" s="351"/>
      <c r="W33" s="351"/>
      <c r="X33" s="351"/>
      <c r="Y33" s="351"/>
      <c r="Z33" s="351"/>
      <c r="AA33" s="351"/>
      <c r="AB33" s="351"/>
      <c r="AC33" s="351"/>
      <c r="AD33" s="351"/>
      <c r="AE33" s="351"/>
      <c r="AF33" s="351"/>
      <c r="AG33" s="351"/>
      <c r="AH33" s="351"/>
      <c r="AI33" s="351"/>
      <c r="AJ33" s="351"/>
      <c r="AK33" s="351"/>
      <c r="AL33" s="351"/>
      <c r="AM33" s="351"/>
      <c r="AN33" s="351"/>
      <c r="AO33" s="351"/>
      <c r="AP33" s="351"/>
      <c r="AQ33" s="351"/>
      <c r="AR33" s="351"/>
      <c r="AS33" s="351"/>
      <c r="AT33" s="351"/>
      <c r="AU33" s="351"/>
      <c r="AV33" s="351"/>
      <c r="AW33" s="351"/>
    </row>
    <row r="34" spans="1:49" x14ac:dyDescent="0.25">
      <c r="A34" s="351"/>
      <c r="B34" s="358" t="s">
        <v>1200</v>
      </c>
      <c r="C34" s="359"/>
      <c r="D34" s="359"/>
      <c r="E34" s="359"/>
      <c r="F34" s="359"/>
      <c r="G34" s="359"/>
      <c r="H34" s="359"/>
      <c r="I34" s="359"/>
      <c r="J34" s="359"/>
      <c r="K34" s="359"/>
      <c r="L34" s="359"/>
      <c r="M34" s="359"/>
      <c r="N34" s="359"/>
      <c r="O34" s="359"/>
      <c r="P34" s="359"/>
      <c r="Q34" s="359"/>
      <c r="R34" s="359"/>
      <c r="S34" s="359"/>
      <c r="T34" s="359"/>
      <c r="U34" s="359"/>
      <c r="V34" s="359"/>
      <c r="W34" s="359"/>
      <c r="X34" s="359"/>
      <c r="Y34" s="359"/>
      <c r="Z34" s="359"/>
      <c r="AA34" s="359"/>
      <c r="AB34" s="359"/>
      <c r="AC34" s="359"/>
      <c r="AD34" s="359"/>
      <c r="AE34" s="359"/>
      <c r="AF34" s="359"/>
      <c r="AG34" s="359"/>
      <c r="AH34" s="359"/>
      <c r="AI34" s="359"/>
      <c r="AJ34" s="359"/>
      <c r="AK34" s="359"/>
      <c r="AL34" s="359"/>
      <c r="AM34" s="359"/>
      <c r="AN34" s="359"/>
      <c r="AO34" s="359"/>
      <c r="AP34" s="359"/>
      <c r="AQ34" s="359"/>
      <c r="AR34" s="359"/>
      <c r="AS34" s="359"/>
      <c r="AT34" s="359"/>
      <c r="AU34" s="359"/>
      <c r="AV34" s="359"/>
      <c r="AW34" s="360"/>
    </row>
    <row r="35" spans="1:49" x14ac:dyDescent="0.25">
      <c r="A35" s="351"/>
      <c r="B35" s="351">
        <v>1</v>
      </c>
      <c r="C35" s="351">
        <v>2</v>
      </c>
      <c r="D35" s="351">
        <v>3</v>
      </c>
      <c r="E35" s="351">
        <v>4</v>
      </c>
      <c r="F35" s="351">
        <v>5</v>
      </c>
      <c r="G35" s="351">
        <v>6</v>
      </c>
      <c r="H35" s="351">
        <v>7</v>
      </c>
      <c r="I35" s="351">
        <v>8</v>
      </c>
      <c r="J35" s="351">
        <v>9</v>
      </c>
      <c r="K35" s="351">
        <v>10</v>
      </c>
      <c r="L35" s="351">
        <v>11</v>
      </c>
      <c r="M35" s="351">
        <v>12</v>
      </c>
      <c r="N35" s="351">
        <v>13</v>
      </c>
      <c r="O35" s="351">
        <v>14</v>
      </c>
      <c r="P35" s="351">
        <v>15</v>
      </c>
      <c r="Q35" s="351">
        <v>16</v>
      </c>
      <c r="R35" s="351">
        <v>17</v>
      </c>
      <c r="S35" s="351">
        <v>18</v>
      </c>
      <c r="T35" s="351">
        <v>19</v>
      </c>
      <c r="U35" s="351">
        <v>20</v>
      </c>
      <c r="V35" s="351">
        <v>21</v>
      </c>
      <c r="W35" s="351">
        <v>22</v>
      </c>
      <c r="X35" s="351">
        <v>23</v>
      </c>
      <c r="Y35" s="351">
        <v>24</v>
      </c>
      <c r="Z35" s="351">
        <v>25</v>
      </c>
      <c r="AA35" s="351">
        <v>26</v>
      </c>
      <c r="AB35" s="351">
        <v>27</v>
      </c>
      <c r="AC35" s="351">
        <v>28</v>
      </c>
      <c r="AD35" s="351">
        <v>29</v>
      </c>
      <c r="AE35" s="351">
        <v>30</v>
      </c>
      <c r="AF35" s="351">
        <v>31</v>
      </c>
      <c r="AG35" s="351">
        <v>32</v>
      </c>
      <c r="AH35" s="351">
        <v>33</v>
      </c>
      <c r="AI35" s="351">
        <v>34</v>
      </c>
      <c r="AJ35" s="351">
        <v>35</v>
      </c>
      <c r="AK35" s="351">
        <v>36</v>
      </c>
      <c r="AL35" s="351">
        <v>37</v>
      </c>
      <c r="AM35" s="351">
        <v>38</v>
      </c>
      <c r="AN35" s="351">
        <v>39</v>
      </c>
      <c r="AO35" s="351">
        <v>40</v>
      </c>
      <c r="AP35" s="351">
        <v>41</v>
      </c>
      <c r="AQ35" s="351">
        <v>42</v>
      </c>
      <c r="AR35" s="351">
        <v>43</v>
      </c>
      <c r="AS35" s="351">
        <v>44</v>
      </c>
      <c r="AT35" s="351">
        <v>45</v>
      </c>
      <c r="AU35" s="351">
        <v>46</v>
      </c>
      <c r="AV35" s="351">
        <v>47</v>
      </c>
      <c r="AW35" s="351">
        <v>48</v>
      </c>
    </row>
    <row r="36" spans="1:49" x14ac:dyDescent="0.25">
      <c r="A36" s="361" t="s">
        <v>1201</v>
      </c>
      <c r="B36" s="362"/>
      <c r="C36" s="362"/>
      <c r="D36" s="362"/>
      <c r="E36" s="362"/>
      <c r="F36" s="362"/>
      <c r="G36" s="362"/>
      <c r="H36" s="362"/>
      <c r="I36" s="362"/>
      <c r="J36" s="362"/>
      <c r="K36" s="362"/>
      <c r="L36" s="362"/>
      <c r="M36" s="362"/>
      <c r="N36" s="362"/>
      <c r="O36" s="362"/>
      <c r="P36" s="362"/>
      <c r="Q36" s="362"/>
      <c r="R36" s="362"/>
      <c r="S36" s="362"/>
      <c r="T36" s="362"/>
      <c r="U36" s="362"/>
      <c r="V36" s="362"/>
      <c r="W36" s="362"/>
      <c r="X36" s="362"/>
      <c r="Y36" s="362"/>
      <c r="Z36" s="362"/>
      <c r="AA36" s="362"/>
      <c r="AB36" s="362"/>
      <c r="AC36" s="362"/>
      <c r="AD36" s="362"/>
      <c r="AE36" s="362"/>
      <c r="AF36" s="362"/>
      <c r="AG36" s="362"/>
      <c r="AH36" s="362"/>
      <c r="AI36" s="362"/>
      <c r="AJ36" s="362"/>
      <c r="AK36" s="362"/>
      <c r="AL36" s="362"/>
      <c r="AM36" s="362"/>
      <c r="AN36" s="362"/>
      <c r="AO36" s="362"/>
      <c r="AP36" s="362"/>
      <c r="AQ36" s="362"/>
      <c r="AR36" s="362"/>
      <c r="AS36" s="362"/>
      <c r="AT36" s="362"/>
      <c r="AU36" s="362"/>
      <c r="AV36" s="362"/>
      <c r="AW36" s="363"/>
    </row>
    <row r="37" spans="1:49" x14ac:dyDescent="0.25">
      <c r="A37" s="351" t="s">
        <v>1210</v>
      </c>
      <c r="B37" s="351">
        <v>23</v>
      </c>
      <c r="C37" s="351">
        <v>15</v>
      </c>
      <c r="D37" s="351">
        <v>15</v>
      </c>
      <c r="E37" s="351">
        <v>23</v>
      </c>
      <c r="F37" s="351">
        <v>15</v>
      </c>
      <c r="G37" s="351">
        <v>23</v>
      </c>
      <c r="H37" s="351">
        <v>15</v>
      </c>
      <c r="I37" s="351">
        <v>15</v>
      </c>
      <c r="J37" s="351">
        <v>15</v>
      </c>
      <c r="K37" s="351">
        <v>15</v>
      </c>
      <c r="L37" s="351">
        <v>15</v>
      </c>
      <c r="M37" s="351">
        <v>15</v>
      </c>
      <c r="N37" s="351">
        <v>23</v>
      </c>
      <c r="O37" s="351">
        <v>74</v>
      </c>
      <c r="P37" s="351">
        <v>74</v>
      </c>
      <c r="Q37" s="351">
        <v>74</v>
      </c>
      <c r="R37" s="351">
        <v>23</v>
      </c>
      <c r="S37" s="351">
        <v>23</v>
      </c>
      <c r="T37" s="351">
        <v>74</v>
      </c>
      <c r="U37" s="351">
        <v>74</v>
      </c>
      <c r="V37" s="351">
        <v>23</v>
      </c>
      <c r="W37" s="351">
        <v>100</v>
      </c>
      <c r="X37" s="351">
        <v>100</v>
      </c>
      <c r="Y37" s="351">
        <v>85</v>
      </c>
      <c r="Z37" s="351">
        <v>23</v>
      </c>
      <c r="AA37" s="351">
        <v>85</v>
      </c>
      <c r="AB37" s="351">
        <v>85</v>
      </c>
      <c r="AC37" s="351">
        <v>20</v>
      </c>
      <c r="AD37" s="351">
        <v>23</v>
      </c>
      <c r="AE37" s="351">
        <v>23</v>
      </c>
      <c r="AF37" s="351">
        <v>23</v>
      </c>
      <c r="AG37" s="351" t="s">
        <v>1212</v>
      </c>
      <c r="AH37" s="351" t="s">
        <v>1212</v>
      </c>
      <c r="AI37" s="351" t="s">
        <v>1213</v>
      </c>
      <c r="AJ37" s="351">
        <v>5</v>
      </c>
      <c r="AK37" s="351" t="s">
        <v>1212</v>
      </c>
      <c r="AL37" s="351">
        <v>60</v>
      </c>
      <c r="AM37" s="351">
        <v>60</v>
      </c>
      <c r="AN37" s="351">
        <v>23</v>
      </c>
      <c r="AO37" s="351">
        <v>800</v>
      </c>
      <c r="AP37" s="351">
        <v>800</v>
      </c>
      <c r="AQ37" s="351">
        <v>800</v>
      </c>
      <c r="AR37" s="351">
        <v>140</v>
      </c>
      <c r="AS37" s="351">
        <v>120</v>
      </c>
      <c r="AT37" s="351">
        <v>20</v>
      </c>
      <c r="AU37" s="351">
        <v>50</v>
      </c>
      <c r="AV37" s="351" t="s">
        <v>1212</v>
      </c>
      <c r="AW37" s="351" t="s">
        <v>1212</v>
      </c>
    </row>
    <row r="38" spans="1:49" x14ac:dyDescent="0.25">
      <c r="A38" s="361" t="s">
        <v>1211</v>
      </c>
      <c r="B38" s="362"/>
      <c r="C38" s="362"/>
      <c r="D38" s="362"/>
      <c r="E38" s="362"/>
      <c r="F38" s="362"/>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2"/>
      <c r="AH38" s="362"/>
      <c r="AI38" s="362"/>
      <c r="AJ38" s="362"/>
      <c r="AK38" s="362"/>
      <c r="AL38" s="362"/>
      <c r="AM38" s="362"/>
      <c r="AN38" s="362"/>
      <c r="AO38" s="362"/>
      <c r="AP38" s="362"/>
      <c r="AQ38" s="362"/>
      <c r="AR38" s="362"/>
      <c r="AS38" s="362"/>
      <c r="AT38" s="362"/>
      <c r="AU38" s="362"/>
      <c r="AV38" s="362"/>
      <c r="AW38" s="363"/>
    </row>
    <row r="39" spans="1:49" x14ac:dyDescent="0.25">
      <c r="A39" s="351" t="s">
        <v>1192</v>
      </c>
      <c r="B39" s="351">
        <v>2.9149000000000001E-2</v>
      </c>
      <c r="C39" s="351" t="s">
        <v>198</v>
      </c>
      <c r="D39" s="351">
        <v>2.9149000000000001E-2</v>
      </c>
      <c r="E39" s="351" t="s">
        <v>198</v>
      </c>
      <c r="F39" s="351" t="s">
        <v>198</v>
      </c>
      <c r="G39" s="351" t="s">
        <v>198</v>
      </c>
      <c r="H39" s="351" t="s">
        <v>198</v>
      </c>
      <c r="I39" s="351" t="s">
        <v>198</v>
      </c>
      <c r="J39" s="351" t="s">
        <v>198</v>
      </c>
      <c r="K39" s="351" t="s">
        <v>198</v>
      </c>
      <c r="L39" s="351" t="s">
        <v>198</v>
      </c>
      <c r="M39" s="351" t="s">
        <v>198</v>
      </c>
      <c r="N39" s="351" t="s">
        <v>198</v>
      </c>
      <c r="O39" s="351" t="s">
        <v>198</v>
      </c>
      <c r="P39" s="351" t="s">
        <v>198</v>
      </c>
      <c r="Q39" s="351" t="s">
        <v>198</v>
      </c>
      <c r="R39" s="351" t="s">
        <v>198</v>
      </c>
      <c r="S39" s="351" t="s">
        <v>198</v>
      </c>
      <c r="T39" s="351" t="s">
        <v>198</v>
      </c>
      <c r="U39" s="351" t="s">
        <v>198</v>
      </c>
      <c r="V39" s="351" t="s">
        <v>198</v>
      </c>
      <c r="W39" s="351" t="s">
        <v>198</v>
      </c>
      <c r="X39" s="351" t="s">
        <v>198</v>
      </c>
      <c r="Y39" s="351" t="s">
        <v>198</v>
      </c>
      <c r="Z39" s="351" t="s">
        <v>198</v>
      </c>
      <c r="AA39" s="351" t="s">
        <v>198</v>
      </c>
      <c r="AB39" s="351" t="s">
        <v>198</v>
      </c>
      <c r="AC39" s="351" t="s">
        <v>198</v>
      </c>
      <c r="AD39" s="351" t="s">
        <v>198</v>
      </c>
      <c r="AE39" s="351" t="s">
        <v>198</v>
      </c>
      <c r="AF39" s="351" t="s">
        <v>198</v>
      </c>
      <c r="AG39" s="351" t="s">
        <v>198</v>
      </c>
      <c r="AH39" s="351" t="s">
        <v>198</v>
      </c>
      <c r="AI39" s="351" t="s">
        <v>198</v>
      </c>
      <c r="AJ39" s="351" t="s">
        <v>198</v>
      </c>
      <c r="AK39" s="351" t="s">
        <v>198</v>
      </c>
      <c r="AL39" s="351" t="s">
        <v>198</v>
      </c>
      <c r="AM39" s="351" t="s">
        <v>198</v>
      </c>
      <c r="AN39" s="351" t="s">
        <v>198</v>
      </c>
      <c r="AO39" s="351" t="s">
        <v>198</v>
      </c>
      <c r="AP39" s="351" t="s">
        <v>198</v>
      </c>
      <c r="AQ39" s="351" t="s">
        <v>198</v>
      </c>
      <c r="AR39" s="351" t="s">
        <v>198</v>
      </c>
      <c r="AS39" s="351" t="s">
        <v>198</v>
      </c>
      <c r="AT39" s="351" t="s">
        <v>198</v>
      </c>
      <c r="AU39" s="351" t="s">
        <v>198</v>
      </c>
      <c r="AV39" s="351" t="s">
        <v>198</v>
      </c>
      <c r="AW39" s="351" t="s">
        <v>198</v>
      </c>
    </row>
    <row r="40" spans="1:49" x14ac:dyDescent="0.25">
      <c r="A40" s="351" t="s">
        <v>449</v>
      </c>
      <c r="B40" s="351" t="s">
        <v>198</v>
      </c>
      <c r="C40" s="351">
        <v>29149</v>
      </c>
      <c r="D40" s="351">
        <v>29149</v>
      </c>
      <c r="E40" s="351" t="s">
        <v>198</v>
      </c>
      <c r="F40" s="351">
        <v>29149.029149000002</v>
      </c>
      <c r="G40" s="351" t="s">
        <v>198</v>
      </c>
      <c r="H40" s="351">
        <v>29149.029149000002</v>
      </c>
      <c r="I40" s="351">
        <v>820.69999999999891</v>
      </c>
      <c r="J40" s="351">
        <v>28328.300000000003</v>
      </c>
      <c r="K40" s="351">
        <v>28.299999999995634</v>
      </c>
      <c r="L40" s="351">
        <v>28300.000000000007</v>
      </c>
      <c r="M40" s="351">
        <v>28300.000000000007</v>
      </c>
      <c r="N40" s="351" t="s">
        <v>198</v>
      </c>
      <c r="O40" s="351" t="s">
        <v>198</v>
      </c>
      <c r="P40" s="351" t="s">
        <v>198</v>
      </c>
      <c r="Q40" s="351" t="s">
        <v>198</v>
      </c>
      <c r="R40" s="351" t="s">
        <v>198</v>
      </c>
      <c r="S40" s="351" t="s">
        <v>198</v>
      </c>
      <c r="T40" s="351" t="s">
        <v>198</v>
      </c>
      <c r="U40" s="351" t="s">
        <v>198</v>
      </c>
      <c r="V40" s="351" t="s">
        <v>198</v>
      </c>
      <c r="W40" s="351" t="s">
        <v>198</v>
      </c>
      <c r="X40" s="351" t="s">
        <v>198</v>
      </c>
      <c r="Y40" s="351" t="s">
        <v>198</v>
      </c>
      <c r="Z40" s="351" t="s">
        <v>198</v>
      </c>
      <c r="AA40" s="351" t="s">
        <v>198</v>
      </c>
      <c r="AB40" s="351" t="s">
        <v>198</v>
      </c>
      <c r="AC40" s="351" t="s">
        <v>198</v>
      </c>
      <c r="AD40" s="351" t="s">
        <v>198</v>
      </c>
      <c r="AE40" s="351" t="s">
        <v>198</v>
      </c>
      <c r="AF40" s="351" t="s">
        <v>198</v>
      </c>
      <c r="AG40" s="351" t="s">
        <v>198</v>
      </c>
      <c r="AH40" s="351" t="s">
        <v>198</v>
      </c>
      <c r="AI40" s="351" t="s">
        <v>198</v>
      </c>
      <c r="AJ40" s="351" t="s">
        <v>198</v>
      </c>
      <c r="AK40" s="351" t="s">
        <v>198</v>
      </c>
      <c r="AL40" s="351">
        <v>878.22046565323501</v>
      </c>
      <c r="AM40" s="351" t="s">
        <v>198</v>
      </c>
      <c r="AN40" s="351" t="s">
        <v>198</v>
      </c>
      <c r="AO40" s="351" t="s">
        <v>198</v>
      </c>
      <c r="AP40" s="351" t="s">
        <v>198</v>
      </c>
      <c r="AQ40" s="351" t="s">
        <v>198</v>
      </c>
      <c r="AR40" s="351" t="s">
        <v>198</v>
      </c>
      <c r="AS40" s="351" t="s">
        <v>198</v>
      </c>
      <c r="AT40" s="351">
        <v>5795.098682519103</v>
      </c>
      <c r="AU40" s="351">
        <v>5795.098682519103</v>
      </c>
      <c r="AV40" s="351">
        <v>15067.256574549669</v>
      </c>
      <c r="AW40" s="351">
        <v>15067.256574549669</v>
      </c>
    </row>
    <row r="41" spans="1:49" x14ac:dyDescent="0.25">
      <c r="A41" s="351" t="s">
        <v>1120</v>
      </c>
      <c r="B41" s="351" t="s">
        <v>198</v>
      </c>
      <c r="C41" s="351" t="s">
        <v>198</v>
      </c>
      <c r="D41" s="351" t="s">
        <v>198</v>
      </c>
      <c r="E41" s="351">
        <v>0.44804927900000002</v>
      </c>
      <c r="F41" s="351">
        <v>0.44804927900000002</v>
      </c>
      <c r="G41" s="351" t="s">
        <v>198</v>
      </c>
      <c r="H41" s="351">
        <v>0.44804927900000002</v>
      </c>
      <c r="I41" s="351">
        <v>0.22402463950000001</v>
      </c>
      <c r="J41" s="351">
        <v>0.22402463950000001</v>
      </c>
      <c r="K41" s="351">
        <v>0.17921971160000003</v>
      </c>
      <c r="L41" s="351">
        <v>4.4804927899999986E-2</v>
      </c>
      <c r="M41" s="351" t="s">
        <v>198</v>
      </c>
      <c r="N41" s="351" t="s">
        <v>198</v>
      </c>
      <c r="O41" s="351" t="s">
        <v>198</v>
      </c>
      <c r="P41" s="351" t="s">
        <v>198</v>
      </c>
      <c r="Q41" s="351" t="s">
        <v>198</v>
      </c>
      <c r="R41" s="351" t="s">
        <v>198</v>
      </c>
      <c r="S41" s="351" t="s">
        <v>198</v>
      </c>
      <c r="T41" s="351" t="s">
        <v>198</v>
      </c>
      <c r="U41" s="351" t="s">
        <v>198</v>
      </c>
      <c r="V41" s="351" t="s">
        <v>198</v>
      </c>
      <c r="W41" s="351" t="s">
        <v>198</v>
      </c>
      <c r="X41" s="351" t="s">
        <v>198</v>
      </c>
      <c r="Y41" s="351" t="s">
        <v>198</v>
      </c>
      <c r="Z41" s="351" t="s">
        <v>198</v>
      </c>
      <c r="AA41" s="351" t="s">
        <v>198</v>
      </c>
      <c r="AB41" s="351" t="s">
        <v>198</v>
      </c>
      <c r="AC41" s="351" t="s">
        <v>198</v>
      </c>
      <c r="AD41" s="351" t="s">
        <v>198</v>
      </c>
      <c r="AE41" s="351" t="s">
        <v>198</v>
      </c>
      <c r="AF41" s="351" t="s">
        <v>198</v>
      </c>
      <c r="AG41" s="351" t="s">
        <v>198</v>
      </c>
      <c r="AH41" s="351" t="s">
        <v>198</v>
      </c>
      <c r="AI41" s="351" t="s">
        <v>198</v>
      </c>
      <c r="AJ41" s="351" t="s">
        <v>198</v>
      </c>
      <c r="AK41" s="351" t="s">
        <v>198</v>
      </c>
      <c r="AL41" s="351" t="s">
        <v>198</v>
      </c>
      <c r="AM41" s="351" t="s">
        <v>198</v>
      </c>
      <c r="AN41" s="351" t="s">
        <v>198</v>
      </c>
      <c r="AO41" s="351" t="s">
        <v>198</v>
      </c>
      <c r="AP41" s="351" t="s">
        <v>198</v>
      </c>
      <c r="AQ41" s="351" t="s">
        <v>198</v>
      </c>
      <c r="AR41" s="351" t="s">
        <v>198</v>
      </c>
      <c r="AS41" s="351" t="s">
        <v>198</v>
      </c>
      <c r="AT41" s="351" t="s">
        <v>198</v>
      </c>
      <c r="AU41" s="351" t="s">
        <v>198</v>
      </c>
      <c r="AV41" s="351" t="s">
        <v>198</v>
      </c>
      <c r="AW41" s="351" t="s">
        <v>198</v>
      </c>
    </row>
    <row r="42" spans="1:49" x14ac:dyDescent="0.25">
      <c r="A42" s="351" t="s">
        <v>1160</v>
      </c>
      <c r="B42" s="351" t="s">
        <v>198</v>
      </c>
      <c r="C42" s="351" t="s">
        <v>198</v>
      </c>
      <c r="D42" s="351" t="s">
        <v>198</v>
      </c>
      <c r="E42" s="351" t="s">
        <v>198</v>
      </c>
      <c r="F42" s="351" t="s">
        <v>198</v>
      </c>
      <c r="G42" s="351">
        <v>0.44804927900000002</v>
      </c>
      <c r="H42" s="351">
        <v>0.44804927900000002</v>
      </c>
      <c r="I42" s="351">
        <v>0.22402463950000001</v>
      </c>
      <c r="J42" s="351">
        <v>0.22402463950000001</v>
      </c>
      <c r="K42" s="351">
        <v>0.17921971160000003</v>
      </c>
      <c r="L42" s="351">
        <v>4.4804927899999986E-2</v>
      </c>
      <c r="M42" s="351" t="s">
        <v>198</v>
      </c>
      <c r="N42" s="351" t="s">
        <v>198</v>
      </c>
      <c r="O42" s="351" t="s">
        <v>198</v>
      </c>
      <c r="P42" s="351" t="s">
        <v>198</v>
      </c>
      <c r="Q42" s="351" t="s">
        <v>198</v>
      </c>
      <c r="R42" s="351" t="s">
        <v>198</v>
      </c>
      <c r="S42" s="351" t="s">
        <v>198</v>
      </c>
      <c r="T42" s="351" t="s">
        <v>198</v>
      </c>
      <c r="U42" s="351" t="s">
        <v>198</v>
      </c>
      <c r="V42" s="351" t="s">
        <v>198</v>
      </c>
      <c r="W42" s="351" t="s">
        <v>198</v>
      </c>
      <c r="X42" s="351" t="s">
        <v>198</v>
      </c>
      <c r="Y42" s="351" t="s">
        <v>198</v>
      </c>
      <c r="Z42" s="351" t="s">
        <v>198</v>
      </c>
      <c r="AA42" s="351" t="s">
        <v>198</v>
      </c>
      <c r="AB42" s="351" t="s">
        <v>198</v>
      </c>
      <c r="AC42" s="351" t="s">
        <v>198</v>
      </c>
      <c r="AD42" s="351" t="s">
        <v>198</v>
      </c>
      <c r="AE42" s="351" t="s">
        <v>198</v>
      </c>
      <c r="AF42" s="351" t="s">
        <v>198</v>
      </c>
      <c r="AG42" s="351" t="s">
        <v>198</v>
      </c>
      <c r="AH42" s="351" t="s">
        <v>198</v>
      </c>
      <c r="AI42" s="351" t="s">
        <v>198</v>
      </c>
      <c r="AJ42" s="351" t="s">
        <v>198</v>
      </c>
      <c r="AK42" s="351" t="s">
        <v>198</v>
      </c>
      <c r="AL42" s="351" t="s">
        <v>198</v>
      </c>
      <c r="AM42" s="351" t="s">
        <v>198</v>
      </c>
      <c r="AN42" s="351" t="s">
        <v>198</v>
      </c>
      <c r="AO42" s="351" t="s">
        <v>198</v>
      </c>
      <c r="AP42" s="351" t="s">
        <v>198</v>
      </c>
      <c r="AQ42" s="351" t="s">
        <v>198</v>
      </c>
      <c r="AR42" s="351" t="s">
        <v>198</v>
      </c>
      <c r="AS42" s="351" t="s">
        <v>198</v>
      </c>
      <c r="AT42" s="351" t="s">
        <v>198</v>
      </c>
      <c r="AU42" s="351" t="s">
        <v>198</v>
      </c>
      <c r="AV42" s="351" t="s">
        <v>198</v>
      </c>
      <c r="AW42" s="351" t="s">
        <v>198</v>
      </c>
    </row>
    <row r="43" spans="1:49" x14ac:dyDescent="0.25">
      <c r="A43" s="351" t="s">
        <v>774</v>
      </c>
      <c r="B43" s="351" t="s">
        <v>198</v>
      </c>
      <c r="C43" s="351" t="s">
        <v>198</v>
      </c>
      <c r="D43" s="351" t="s">
        <v>198</v>
      </c>
      <c r="E43" s="351" t="s">
        <v>198</v>
      </c>
      <c r="F43" s="351" t="s">
        <v>198</v>
      </c>
      <c r="G43" s="351" t="s">
        <v>198</v>
      </c>
      <c r="H43" s="351" t="s">
        <v>198</v>
      </c>
      <c r="I43" s="351" t="s">
        <v>198</v>
      </c>
      <c r="J43" s="351" t="s">
        <v>198</v>
      </c>
      <c r="K43" s="351" t="s">
        <v>198</v>
      </c>
      <c r="L43" s="351" t="s">
        <v>198</v>
      </c>
      <c r="M43" s="351" t="s">
        <v>198</v>
      </c>
      <c r="N43" s="351">
        <v>7628</v>
      </c>
      <c r="O43" s="351" t="s">
        <v>198</v>
      </c>
      <c r="P43" s="351" t="s">
        <v>198</v>
      </c>
      <c r="Q43" s="351" t="s">
        <v>198</v>
      </c>
      <c r="R43" s="351" t="s">
        <v>198</v>
      </c>
      <c r="S43" s="351" t="s">
        <v>198</v>
      </c>
      <c r="T43" s="351" t="s">
        <v>198</v>
      </c>
      <c r="U43" s="351" t="s">
        <v>198</v>
      </c>
      <c r="V43" s="351" t="s">
        <v>198</v>
      </c>
      <c r="W43" s="351" t="s">
        <v>198</v>
      </c>
      <c r="X43" s="351" t="s">
        <v>198</v>
      </c>
      <c r="Y43" s="351" t="s">
        <v>198</v>
      </c>
      <c r="Z43" s="351" t="s">
        <v>198</v>
      </c>
      <c r="AA43" s="351" t="s">
        <v>198</v>
      </c>
      <c r="AB43" s="351" t="s">
        <v>198</v>
      </c>
      <c r="AC43" s="351" t="s">
        <v>198</v>
      </c>
      <c r="AD43" s="351" t="s">
        <v>198</v>
      </c>
      <c r="AE43" s="351" t="s">
        <v>198</v>
      </c>
      <c r="AF43" s="351" t="s">
        <v>198</v>
      </c>
      <c r="AG43" s="351" t="s">
        <v>198</v>
      </c>
      <c r="AH43" s="351" t="s">
        <v>198</v>
      </c>
      <c r="AI43" s="351" t="s">
        <v>198</v>
      </c>
      <c r="AJ43" s="351" t="s">
        <v>198</v>
      </c>
      <c r="AK43" s="351" t="s">
        <v>198</v>
      </c>
      <c r="AL43" s="351" t="s">
        <v>198</v>
      </c>
      <c r="AM43" s="351" t="s">
        <v>198</v>
      </c>
      <c r="AN43" s="351" t="s">
        <v>198</v>
      </c>
      <c r="AO43" s="351" t="s">
        <v>198</v>
      </c>
      <c r="AP43" s="351" t="s">
        <v>198</v>
      </c>
      <c r="AQ43" s="351" t="s">
        <v>198</v>
      </c>
      <c r="AR43" s="351" t="s">
        <v>198</v>
      </c>
      <c r="AS43" s="351" t="s">
        <v>198</v>
      </c>
      <c r="AT43" s="351" t="s">
        <v>198</v>
      </c>
      <c r="AU43" s="351" t="s">
        <v>198</v>
      </c>
      <c r="AV43" s="351" t="s">
        <v>198</v>
      </c>
      <c r="AW43" s="351" t="s">
        <v>198</v>
      </c>
    </row>
    <row r="44" spans="1:49" x14ac:dyDescent="0.25">
      <c r="A44" s="351" t="s">
        <v>783</v>
      </c>
      <c r="B44" s="351" t="s">
        <v>198</v>
      </c>
      <c r="C44" s="351" t="s">
        <v>198</v>
      </c>
      <c r="D44" s="351" t="s">
        <v>198</v>
      </c>
      <c r="E44" s="351" t="s">
        <v>198</v>
      </c>
      <c r="F44" s="351" t="s">
        <v>198</v>
      </c>
      <c r="G44" s="351" t="s">
        <v>198</v>
      </c>
      <c r="H44" s="351" t="s">
        <v>198</v>
      </c>
      <c r="I44" s="351" t="s">
        <v>198</v>
      </c>
      <c r="J44" s="351" t="s">
        <v>198</v>
      </c>
      <c r="K44" s="351" t="s">
        <v>198</v>
      </c>
      <c r="L44" s="351" t="s">
        <v>198</v>
      </c>
      <c r="M44" s="351" t="s">
        <v>198</v>
      </c>
      <c r="N44" s="351"/>
      <c r="O44" s="351">
        <v>35928.000000000007</v>
      </c>
      <c r="P44" s="351">
        <v>459.94198026609365</v>
      </c>
      <c r="Q44" s="351" t="s">
        <v>198</v>
      </c>
      <c r="R44" s="351" t="s">
        <v>198</v>
      </c>
      <c r="S44" s="351" t="s">
        <v>198</v>
      </c>
      <c r="T44" s="351">
        <v>32401.778151293292</v>
      </c>
      <c r="U44" s="351">
        <v>32401.778151293292</v>
      </c>
      <c r="V44" s="351" t="s">
        <v>198</v>
      </c>
      <c r="W44" s="351" t="s">
        <v>198</v>
      </c>
      <c r="X44" s="351">
        <v>29051.970067451439</v>
      </c>
      <c r="Y44" s="351">
        <v>29051.970067451439</v>
      </c>
      <c r="Z44" s="351" t="s">
        <v>198</v>
      </c>
      <c r="AA44" s="351">
        <v>161.66263684283444</v>
      </c>
      <c r="AB44" s="351">
        <v>28890.307430608606</v>
      </c>
      <c r="AC44" s="351">
        <v>28890.307430608606</v>
      </c>
      <c r="AD44" s="351" t="s">
        <v>198</v>
      </c>
      <c r="AE44" s="351" t="s">
        <v>198</v>
      </c>
      <c r="AF44" s="351" t="s">
        <v>198</v>
      </c>
      <c r="AG44" s="351">
        <v>31794.804030225412</v>
      </c>
      <c r="AH44" s="351" t="s">
        <v>198</v>
      </c>
      <c r="AI44" s="351" t="s">
        <v>198</v>
      </c>
      <c r="AJ44" s="351" t="s">
        <v>198</v>
      </c>
      <c r="AK44" s="351" t="s">
        <v>198</v>
      </c>
      <c r="AL44" s="351" t="s">
        <v>198</v>
      </c>
      <c r="AM44" s="351" t="s">
        <v>198</v>
      </c>
      <c r="AN44" s="351" t="s">
        <v>198</v>
      </c>
      <c r="AO44" s="351" t="s">
        <v>198</v>
      </c>
      <c r="AP44" s="351" t="s">
        <v>198</v>
      </c>
      <c r="AQ44" s="351" t="s">
        <v>198</v>
      </c>
      <c r="AR44" s="351" t="s">
        <v>198</v>
      </c>
      <c r="AS44" s="351" t="s">
        <v>198</v>
      </c>
      <c r="AT44" s="351" t="s">
        <v>198</v>
      </c>
      <c r="AU44" s="351" t="s">
        <v>198</v>
      </c>
      <c r="AV44" s="351" t="s">
        <v>198</v>
      </c>
      <c r="AW44" s="351" t="s">
        <v>198</v>
      </c>
    </row>
    <row r="45" spans="1:49" x14ac:dyDescent="0.25">
      <c r="A45" s="351" t="s">
        <v>782</v>
      </c>
      <c r="B45" s="351" t="s">
        <v>198</v>
      </c>
      <c r="C45" s="351" t="s">
        <v>198</v>
      </c>
      <c r="D45" s="351" t="s">
        <v>198</v>
      </c>
      <c r="E45" s="351" t="s">
        <v>198</v>
      </c>
      <c r="F45" s="351" t="s">
        <v>198</v>
      </c>
      <c r="G45" s="351" t="s">
        <v>198</v>
      </c>
      <c r="H45" s="351" t="s">
        <v>198</v>
      </c>
      <c r="I45" s="351" t="s">
        <v>198</v>
      </c>
      <c r="J45" s="351" t="s">
        <v>198</v>
      </c>
      <c r="K45" s="351" t="s">
        <v>198</v>
      </c>
      <c r="L45" s="351" t="s">
        <v>198</v>
      </c>
      <c r="M45" s="351" t="s">
        <v>198</v>
      </c>
      <c r="N45" s="351" t="s">
        <v>198</v>
      </c>
      <c r="O45" s="351" t="s">
        <v>198</v>
      </c>
      <c r="P45" s="351" t="s">
        <v>198</v>
      </c>
      <c r="Q45" s="351">
        <v>3066.2798684406248</v>
      </c>
      <c r="R45" s="351">
        <v>1156.047534331429</v>
      </c>
      <c r="S45" s="351">
        <v>1910.2323341091958</v>
      </c>
      <c r="T45" s="351" t="s">
        <v>198</v>
      </c>
      <c r="U45" s="351" t="s">
        <v>198</v>
      </c>
      <c r="V45" s="351" t="s">
        <v>198</v>
      </c>
      <c r="W45" s="351" t="s">
        <v>198</v>
      </c>
      <c r="X45" s="351" t="s">
        <v>198</v>
      </c>
      <c r="Y45" s="351" t="s">
        <v>198</v>
      </c>
      <c r="Z45" s="351">
        <v>1077.7509122855636</v>
      </c>
      <c r="AA45" s="351" t="s">
        <v>198</v>
      </c>
      <c r="AB45" s="351" t="s">
        <v>198</v>
      </c>
      <c r="AC45" s="351" t="s">
        <v>198</v>
      </c>
      <c r="AD45" s="351" t="s">
        <v>198</v>
      </c>
      <c r="AE45" s="351" t="s">
        <v>198</v>
      </c>
      <c r="AF45" s="351" t="s">
        <v>198</v>
      </c>
      <c r="AG45" s="351" t="s">
        <v>198</v>
      </c>
      <c r="AH45" s="351" t="s">
        <v>198</v>
      </c>
      <c r="AI45" s="351" t="s">
        <v>198</v>
      </c>
      <c r="AJ45" s="351" t="s">
        <v>198</v>
      </c>
      <c r="AK45" s="351" t="s">
        <v>198</v>
      </c>
      <c r="AL45" s="351" t="s">
        <v>198</v>
      </c>
      <c r="AM45" s="351" t="s">
        <v>198</v>
      </c>
      <c r="AN45" s="351" t="s">
        <v>198</v>
      </c>
      <c r="AO45" s="351" t="s">
        <v>198</v>
      </c>
      <c r="AP45" s="351" t="s">
        <v>198</v>
      </c>
      <c r="AQ45" s="351" t="s">
        <v>198</v>
      </c>
      <c r="AR45" s="351" t="s">
        <v>198</v>
      </c>
      <c r="AS45" s="351" t="s">
        <v>198</v>
      </c>
      <c r="AT45" s="351" t="s">
        <v>198</v>
      </c>
      <c r="AU45" s="351" t="s">
        <v>198</v>
      </c>
      <c r="AV45" s="351" t="s">
        <v>198</v>
      </c>
      <c r="AW45" s="351" t="s">
        <v>198</v>
      </c>
    </row>
    <row r="46" spans="1:49" x14ac:dyDescent="0.25">
      <c r="A46" s="351" t="s">
        <v>775</v>
      </c>
      <c r="B46" s="351" t="s">
        <v>198</v>
      </c>
      <c r="C46" s="351" t="s">
        <v>198</v>
      </c>
      <c r="D46" s="351" t="s">
        <v>198</v>
      </c>
      <c r="E46" s="351" t="s">
        <v>198</v>
      </c>
      <c r="F46" s="351" t="s">
        <v>198</v>
      </c>
      <c r="G46" s="351" t="s">
        <v>198</v>
      </c>
      <c r="H46" s="351" t="s">
        <v>198</v>
      </c>
      <c r="I46" s="351" t="s">
        <v>198</v>
      </c>
      <c r="J46" s="351" t="s">
        <v>198</v>
      </c>
      <c r="K46" s="351" t="s">
        <v>198</v>
      </c>
      <c r="L46" s="351" t="s">
        <v>198</v>
      </c>
      <c r="M46" s="351" t="s">
        <v>198</v>
      </c>
      <c r="N46" s="351" t="s">
        <v>198</v>
      </c>
      <c r="O46" s="351" t="s">
        <v>198</v>
      </c>
      <c r="P46" s="351" t="s">
        <v>198</v>
      </c>
      <c r="Q46" s="351" t="s">
        <v>198</v>
      </c>
      <c r="R46" s="351" t="s">
        <v>198</v>
      </c>
      <c r="S46" s="351" t="s">
        <v>198</v>
      </c>
      <c r="T46" s="351" t="s">
        <v>198</v>
      </c>
      <c r="U46" s="351" t="s">
        <v>198</v>
      </c>
      <c r="V46" s="351">
        <v>1046.7783883619209</v>
      </c>
      <c r="W46" s="351"/>
      <c r="X46" s="351">
        <v>1046.7783883619209</v>
      </c>
      <c r="Y46" s="351">
        <v>1046.7783883619209</v>
      </c>
      <c r="Z46" s="351" t="s">
        <v>198</v>
      </c>
      <c r="AA46" s="351" t="s">
        <v>198</v>
      </c>
      <c r="AB46" s="351" t="s">
        <v>198</v>
      </c>
      <c r="AC46" s="351" t="s">
        <v>198</v>
      </c>
      <c r="AD46" s="351" t="s">
        <v>198</v>
      </c>
      <c r="AE46" s="351" t="s">
        <v>198</v>
      </c>
      <c r="AF46" s="351" t="s">
        <v>198</v>
      </c>
      <c r="AG46" s="351" t="s">
        <v>198</v>
      </c>
      <c r="AH46" s="351" t="s">
        <v>198</v>
      </c>
      <c r="AI46" s="351" t="s">
        <v>198</v>
      </c>
      <c r="AJ46" s="351" t="s">
        <v>198</v>
      </c>
      <c r="AK46" s="351" t="s">
        <v>198</v>
      </c>
      <c r="AL46" s="351" t="s">
        <v>198</v>
      </c>
      <c r="AM46" s="351" t="s">
        <v>198</v>
      </c>
      <c r="AN46" s="351" t="s">
        <v>198</v>
      </c>
      <c r="AO46" s="351" t="s">
        <v>198</v>
      </c>
      <c r="AP46" s="351" t="s">
        <v>198</v>
      </c>
      <c r="AQ46" s="351" t="s">
        <v>198</v>
      </c>
      <c r="AR46" s="351" t="s">
        <v>198</v>
      </c>
      <c r="AS46" s="351" t="s">
        <v>198</v>
      </c>
      <c r="AT46" s="351" t="s">
        <v>198</v>
      </c>
      <c r="AU46" s="351" t="s">
        <v>198</v>
      </c>
      <c r="AV46" s="351" t="s">
        <v>198</v>
      </c>
      <c r="AW46" s="351" t="s">
        <v>198</v>
      </c>
    </row>
    <row r="47" spans="1:49" x14ac:dyDescent="0.25">
      <c r="A47" s="351" t="s">
        <v>1207</v>
      </c>
      <c r="B47" s="351" t="s">
        <v>198</v>
      </c>
      <c r="C47" s="351" t="s">
        <v>198</v>
      </c>
      <c r="D47" s="351" t="s">
        <v>198</v>
      </c>
      <c r="E47" s="351" t="s">
        <v>198</v>
      </c>
      <c r="F47" s="351" t="s">
        <v>198</v>
      </c>
      <c r="G47" s="351" t="s">
        <v>198</v>
      </c>
      <c r="H47" s="351" t="s">
        <v>198</v>
      </c>
      <c r="I47" s="351" t="s">
        <v>198</v>
      </c>
      <c r="J47" s="351" t="s">
        <v>198</v>
      </c>
      <c r="K47" s="351" t="s">
        <v>198</v>
      </c>
      <c r="L47" s="351" t="s">
        <v>198</v>
      </c>
      <c r="M47" s="351" t="s">
        <v>198</v>
      </c>
      <c r="N47" s="351" t="s">
        <v>198</v>
      </c>
      <c r="O47" s="351" t="s">
        <v>198</v>
      </c>
      <c r="P47" s="351" t="s">
        <v>198</v>
      </c>
      <c r="Q47" s="351" t="s">
        <v>198</v>
      </c>
      <c r="R47" s="351" t="s">
        <v>198</v>
      </c>
      <c r="S47" s="351" t="s">
        <v>198</v>
      </c>
      <c r="T47" s="351" t="s">
        <v>198</v>
      </c>
      <c r="U47" s="351" t="s">
        <v>198</v>
      </c>
      <c r="V47" s="351" t="s">
        <v>198</v>
      </c>
      <c r="W47" s="351">
        <v>3349.8080838418523</v>
      </c>
      <c r="X47" s="351" t="s">
        <v>198</v>
      </c>
      <c r="Y47" s="351" t="s">
        <v>198</v>
      </c>
      <c r="Z47" s="351" t="s">
        <v>198</v>
      </c>
      <c r="AA47" s="351" t="s">
        <v>198</v>
      </c>
      <c r="AB47" s="351" t="s">
        <v>198</v>
      </c>
      <c r="AC47" s="351" t="s">
        <v>198</v>
      </c>
      <c r="AD47" s="351" t="s">
        <v>198</v>
      </c>
      <c r="AE47" s="351" t="s">
        <v>198</v>
      </c>
      <c r="AF47" s="351" t="s">
        <v>198</v>
      </c>
      <c r="AG47" s="351" t="s">
        <v>198</v>
      </c>
      <c r="AH47" s="351" t="s">
        <v>198</v>
      </c>
      <c r="AI47" s="351" t="s">
        <v>198</v>
      </c>
      <c r="AJ47" s="351" t="s">
        <v>198</v>
      </c>
      <c r="AK47" s="351" t="s">
        <v>198</v>
      </c>
      <c r="AL47" s="351" t="s">
        <v>198</v>
      </c>
      <c r="AM47" s="351" t="s">
        <v>198</v>
      </c>
      <c r="AN47" s="351" t="s">
        <v>198</v>
      </c>
      <c r="AO47" s="351" t="s">
        <v>198</v>
      </c>
      <c r="AP47" s="351">
        <v>624.26566853897179</v>
      </c>
      <c r="AQ47" s="351" t="s">
        <v>198</v>
      </c>
      <c r="AR47" s="351">
        <v>8963.2133333333331</v>
      </c>
      <c r="AS47" s="351">
        <v>8963.2133333333331</v>
      </c>
      <c r="AT47" s="351" t="s">
        <v>198</v>
      </c>
      <c r="AU47" s="351" t="s">
        <v>198</v>
      </c>
      <c r="AV47" s="351" t="s">
        <v>198</v>
      </c>
      <c r="AW47" s="351" t="s">
        <v>198</v>
      </c>
    </row>
    <row r="48" spans="1:49" x14ac:dyDescent="0.25">
      <c r="A48" s="351" t="s">
        <v>444</v>
      </c>
      <c r="B48" s="351" t="s">
        <v>198</v>
      </c>
      <c r="C48" s="351" t="s">
        <v>198</v>
      </c>
      <c r="D48" s="351" t="s">
        <v>198</v>
      </c>
      <c r="E48" s="351" t="s">
        <v>198</v>
      </c>
      <c r="F48" s="351" t="s">
        <v>198</v>
      </c>
      <c r="G48" s="351" t="s">
        <v>198</v>
      </c>
      <c r="H48" s="351" t="s">
        <v>198</v>
      </c>
      <c r="I48" s="351" t="s">
        <v>198</v>
      </c>
      <c r="J48" s="351" t="s">
        <v>198</v>
      </c>
      <c r="K48" s="351" t="s">
        <v>198</v>
      </c>
      <c r="L48" s="351" t="s">
        <v>198</v>
      </c>
      <c r="M48" s="351" t="s">
        <v>198</v>
      </c>
      <c r="N48" s="351" t="s">
        <v>198</v>
      </c>
      <c r="O48" s="351" t="s">
        <v>198</v>
      </c>
      <c r="P48" s="351" t="s">
        <v>198</v>
      </c>
      <c r="Q48" s="351" t="s">
        <v>198</v>
      </c>
      <c r="R48" s="351" t="s">
        <v>198</v>
      </c>
      <c r="S48" s="351" t="s">
        <v>198</v>
      </c>
      <c r="T48" s="351" t="s">
        <v>198</v>
      </c>
      <c r="U48" s="351" t="s">
        <v>198</v>
      </c>
      <c r="V48" s="351" t="s">
        <v>198</v>
      </c>
      <c r="W48" s="351" t="s">
        <v>198</v>
      </c>
      <c r="X48" s="351" t="s">
        <v>198</v>
      </c>
      <c r="Y48" s="351" t="s">
        <v>198</v>
      </c>
      <c r="Z48" s="351" t="s">
        <v>198</v>
      </c>
      <c r="AA48" s="351" t="s">
        <v>198</v>
      </c>
      <c r="AB48" s="351" t="s">
        <v>198</v>
      </c>
      <c r="AC48" s="351" t="s">
        <v>198</v>
      </c>
      <c r="AD48" s="351">
        <v>101.02137912731709</v>
      </c>
      <c r="AE48" s="351" t="s">
        <v>198</v>
      </c>
      <c r="AF48" s="351" t="s">
        <v>198</v>
      </c>
      <c r="AG48" s="351" t="s">
        <v>198</v>
      </c>
      <c r="AH48" s="351" t="s">
        <v>198</v>
      </c>
      <c r="AI48" s="351" t="s">
        <v>198</v>
      </c>
      <c r="AJ48" s="351" t="s">
        <v>198</v>
      </c>
      <c r="AK48" s="351" t="s">
        <v>198</v>
      </c>
      <c r="AL48" s="351" t="s">
        <v>198</v>
      </c>
      <c r="AM48" s="351" t="s">
        <v>198</v>
      </c>
      <c r="AN48" s="351" t="s">
        <v>198</v>
      </c>
      <c r="AO48" s="351" t="s">
        <v>198</v>
      </c>
      <c r="AP48" s="351" t="s">
        <v>198</v>
      </c>
      <c r="AQ48" s="351" t="s">
        <v>198</v>
      </c>
      <c r="AR48" s="351" t="s">
        <v>198</v>
      </c>
      <c r="AS48" s="351" t="s">
        <v>198</v>
      </c>
      <c r="AT48" s="351" t="s">
        <v>198</v>
      </c>
      <c r="AU48" s="351" t="s">
        <v>198</v>
      </c>
      <c r="AV48" s="351" t="s">
        <v>198</v>
      </c>
      <c r="AW48" s="351" t="s">
        <v>198</v>
      </c>
    </row>
    <row r="49" spans="1:49" x14ac:dyDescent="0.25">
      <c r="A49" s="351" t="s">
        <v>443</v>
      </c>
      <c r="B49" s="351" t="s">
        <v>198</v>
      </c>
      <c r="C49" s="351" t="s">
        <v>198</v>
      </c>
      <c r="D49" s="351" t="s">
        <v>198</v>
      </c>
      <c r="E49" s="351" t="s">
        <v>198</v>
      </c>
      <c r="F49" s="351" t="s">
        <v>198</v>
      </c>
      <c r="G49" s="351" t="s">
        <v>198</v>
      </c>
      <c r="H49" s="351" t="s">
        <v>198</v>
      </c>
      <c r="I49" s="351" t="s">
        <v>198</v>
      </c>
      <c r="J49" s="351" t="s">
        <v>198</v>
      </c>
      <c r="K49" s="351" t="s">
        <v>198</v>
      </c>
      <c r="L49" s="351" t="s">
        <v>198</v>
      </c>
      <c r="M49" s="351" t="s">
        <v>198</v>
      </c>
      <c r="N49" s="351" t="s">
        <v>198</v>
      </c>
      <c r="O49" s="351" t="s">
        <v>198</v>
      </c>
      <c r="P49" s="351" t="s">
        <v>198</v>
      </c>
      <c r="Q49" s="351" t="s">
        <v>198</v>
      </c>
      <c r="R49" s="351" t="s">
        <v>198</v>
      </c>
      <c r="S49" s="351" t="s">
        <v>198</v>
      </c>
      <c r="T49" s="351" t="s">
        <v>198</v>
      </c>
      <c r="U49" s="351" t="s">
        <v>198</v>
      </c>
      <c r="V49" s="351" t="s">
        <v>198</v>
      </c>
      <c r="W49" s="351" t="s">
        <v>198</v>
      </c>
      <c r="X49" s="351" t="s">
        <v>198</v>
      </c>
      <c r="Y49" s="351" t="s">
        <v>198</v>
      </c>
      <c r="Z49" s="351" t="s">
        <v>198</v>
      </c>
      <c r="AA49" s="351" t="s">
        <v>198</v>
      </c>
      <c r="AB49" s="351" t="s">
        <v>198</v>
      </c>
      <c r="AC49" s="351" t="s">
        <v>198</v>
      </c>
      <c r="AD49" s="351" t="s">
        <v>198</v>
      </c>
      <c r="AE49" s="351">
        <v>30.871437225086346</v>
      </c>
      <c r="AF49" s="351" t="s">
        <v>198</v>
      </c>
      <c r="AG49" s="351" t="s">
        <v>198</v>
      </c>
      <c r="AH49" s="351" t="s">
        <v>198</v>
      </c>
      <c r="AI49" s="351" t="s">
        <v>198</v>
      </c>
      <c r="AJ49" s="351" t="s">
        <v>198</v>
      </c>
      <c r="AK49" s="351" t="s">
        <v>198</v>
      </c>
      <c r="AL49" s="351" t="s">
        <v>198</v>
      </c>
      <c r="AM49" s="351" t="s">
        <v>198</v>
      </c>
      <c r="AN49" s="351" t="s">
        <v>198</v>
      </c>
      <c r="AO49" s="351" t="s">
        <v>198</v>
      </c>
      <c r="AP49" s="351" t="s">
        <v>198</v>
      </c>
      <c r="AQ49" s="351" t="s">
        <v>198</v>
      </c>
      <c r="AR49" s="351" t="s">
        <v>198</v>
      </c>
      <c r="AS49" s="351" t="s">
        <v>198</v>
      </c>
      <c r="AT49" s="351" t="s">
        <v>198</v>
      </c>
      <c r="AU49" s="351" t="s">
        <v>198</v>
      </c>
      <c r="AV49" s="351" t="s">
        <v>198</v>
      </c>
      <c r="AW49" s="351" t="s">
        <v>198</v>
      </c>
    </row>
    <row r="50" spans="1:49" x14ac:dyDescent="0.25">
      <c r="A50" s="351" t="s">
        <v>776</v>
      </c>
      <c r="B50" s="351" t="s">
        <v>198</v>
      </c>
      <c r="C50" s="351" t="s">
        <v>198</v>
      </c>
      <c r="D50" s="351" t="s">
        <v>198</v>
      </c>
      <c r="E50" s="351" t="s">
        <v>198</v>
      </c>
      <c r="F50" s="351" t="s">
        <v>198</v>
      </c>
      <c r="G50" s="351" t="s">
        <v>198</v>
      </c>
      <c r="H50" s="351" t="s">
        <v>198</v>
      </c>
      <c r="I50" s="351" t="s">
        <v>198</v>
      </c>
      <c r="J50" s="351" t="s">
        <v>198</v>
      </c>
      <c r="K50" s="351" t="s">
        <v>198</v>
      </c>
      <c r="L50" s="351" t="s">
        <v>198</v>
      </c>
      <c r="M50" s="351" t="s">
        <v>198</v>
      </c>
      <c r="N50" s="351" t="s">
        <v>198</v>
      </c>
      <c r="O50" s="351" t="s">
        <v>198</v>
      </c>
      <c r="P50" s="351" t="s">
        <v>198</v>
      </c>
      <c r="Q50" s="351" t="s">
        <v>198</v>
      </c>
      <c r="R50" s="351" t="s">
        <v>198</v>
      </c>
      <c r="S50" s="351" t="s">
        <v>198</v>
      </c>
      <c r="T50" s="351" t="s">
        <v>198</v>
      </c>
      <c r="U50" s="351" t="s">
        <v>198</v>
      </c>
      <c r="V50" s="351" t="s">
        <v>198</v>
      </c>
      <c r="W50" s="351" t="s">
        <v>198</v>
      </c>
      <c r="X50" s="351" t="s">
        <v>198</v>
      </c>
      <c r="Y50" s="351" t="s">
        <v>198</v>
      </c>
      <c r="Z50" s="351" t="s">
        <v>198</v>
      </c>
      <c r="AA50" s="351" t="s">
        <v>198</v>
      </c>
      <c r="AB50" s="351" t="s">
        <v>198</v>
      </c>
      <c r="AC50" s="351" t="s">
        <v>198</v>
      </c>
      <c r="AD50" s="351" t="s">
        <v>198</v>
      </c>
      <c r="AE50" s="351" t="s">
        <v>198</v>
      </c>
      <c r="AF50" s="351">
        <v>90.598102364363683</v>
      </c>
      <c r="AG50" s="351" t="s">
        <v>198</v>
      </c>
      <c r="AH50" s="351">
        <v>1255.9367681637621</v>
      </c>
      <c r="AI50" s="351" t="s">
        <v>198</v>
      </c>
      <c r="AJ50" s="351" t="s">
        <v>198</v>
      </c>
      <c r="AK50" s="351" t="s">
        <v>198</v>
      </c>
      <c r="AL50" s="351" t="s">
        <v>198</v>
      </c>
      <c r="AM50" s="351">
        <v>377.7163025105271</v>
      </c>
      <c r="AN50" s="351" t="s">
        <v>198</v>
      </c>
      <c r="AO50" s="351" t="s">
        <v>198</v>
      </c>
      <c r="AP50" s="351" t="s">
        <v>198</v>
      </c>
      <c r="AQ50" s="351" t="s">
        <v>198</v>
      </c>
      <c r="AR50" s="351" t="s">
        <v>198</v>
      </c>
      <c r="AS50" s="351" t="s">
        <v>198</v>
      </c>
      <c r="AT50" s="351" t="s">
        <v>198</v>
      </c>
      <c r="AU50" s="351" t="s">
        <v>198</v>
      </c>
      <c r="AV50" s="351" t="s">
        <v>198</v>
      </c>
      <c r="AW50" s="351" t="s">
        <v>198</v>
      </c>
    </row>
    <row r="51" spans="1:49" x14ac:dyDescent="0.25">
      <c r="A51" s="351" t="s">
        <v>777</v>
      </c>
      <c r="B51" s="351" t="s">
        <v>198</v>
      </c>
      <c r="C51" s="351" t="s">
        <v>198</v>
      </c>
      <c r="D51" s="351" t="s">
        <v>198</v>
      </c>
      <c r="E51" s="351" t="s">
        <v>198</v>
      </c>
      <c r="F51" s="351" t="s">
        <v>198</v>
      </c>
      <c r="G51" s="351" t="s">
        <v>198</v>
      </c>
      <c r="H51" s="351" t="s">
        <v>198</v>
      </c>
      <c r="I51" s="351" t="s">
        <v>198</v>
      </c>
      <c r="J51" s="351" t="s">
        <v>198</v>
      </c>
      <c r="K51" s="351" t="s">
        <v>198</v>
      </c>
      <c r="L51" s="351" t="s">
        <v>198</v>
      </c>
      <c r="M51" s="351" t="s">
        <v>198</v>
      </c>
      <c r="N51" s="351" t="s">
        <v>198</v>
      </c>
      <c r="O51" s="351" t="s">
        <v>198</v>
      </c>
      <c r="P51" s="351" t="s">
        <v>198</v>
      </c>
      <c r="Q51" s="351" t="s">
        <v>198</v>
      </c>
      <c r="R51" s="351" t="s">
        <v>198</v>
      </c>
      <c r="S51" s="351" t="s">
        <v>198</v>
      </c>
      <c r="T51" s="351" t="s">
        <v>198</v>
      </c>
      <c r="U51" s="351" t="s">
        <v>198</v>
      </c>
      <c r="V51" s="351" t="s">
        <v>198</v>
      </c>
      <c r="W51" s="351" t="s">
        <v>198</v>
      </c>
      <c r="X51" s="351" t="s">
        <v>198</v>
      </c>
      <c r="Y51" s="351" t="s">
        <v>198</v>
      </c>
      <c r="Z51" s="351" t="s">
        <v>198</v>
      </c>
      <c r="AA51" s="351" t="s">
        <v>198</v>
      </c>
      <c r="AB51" s="351" t="s">
        <v>198</v>
      </c>
      <c r="AC51" s="351" t="s">
        <v>198</v>
      </c>
      <c r="AD51" s="351" t="s">
        <v>198</v>
      </c>
      <c r="AE51" s="351" t="s">
        <v>198</v>
      </c>
      <c r="AF51" s="351" t="s">
        <v>198</v>
      </c>
      <c r="AG51" s="351" t="s">
        <v>198</v>
      </c>
      <c r="AH51" s="351" t="s">
        <v>198</v>
      </c>
      <c r="AI51" s="351">
        <v>3900.4331725785287</v>
      </c>
      <c r="AJ51" s="351" t="s">
        <v>198</v>
      </c>
      <c r="AK51" s="351">
        <v>3900.4331725785287</v>
      </c>
      <c r="AL51" s="351" t="s">
        <v>198</v>
      </c>
      <c r="AM51" s="351" t="s">
        <v>198</v>
      </c>
      <c r="AN51" s="351" t="s">
        <v>198</v>
      </c>
      <c r="AO51" s="351" t="s">
        <v>198</v>
      </c>
      <c r="AP51" s="351" t="s">
        <v>198</v>
      </c>
      <c r="AQ51" s="351" t="s">
        <v>198</v>
      </c>
      <c r="AR51" s="351" t="s">
        <v>198</v>
      </c>
      <c r="AS51" s="351" t="s">
        <v>198</v>
      </c>
      <c r="AT51" s="351" t="s">
        <v>198</v>
      </c>
      <c r="AU51" s="351" t="s">
        <v>198</v>
      </c>
      <c r="AV51" s="351" t="s">
        <v>198</v>
      </c>
      <c r="AW51" s="351" t="s">
        <v>198</v>
      </c>
    </row>
    <row r="52" spans="1:49" x14ac:dyDescent="0.25">
      <c r="A52" s="351" t="s">
        <v>504</v>
      </c>
      <c r="B52" s="351" t="s">
        <v>198</v>
      </c>
      <c r="C52" s="351" t="s">
        <v>198</v>
      </c>
      <c r="D52" s="351" t="s">
        <v>198</v>
      </c>
      <c r="E52" s="351" t="s">
        <v>198</v>
      </c>
      <c r="F52" s="351" t="s">
        <v>198</v>
      </c>
      <c r="G52" s="351" t="s">
        <v>198</v>
      </c>
      <c r="H52" s="351" t="s">
        <v>198</v>
      </c>
      <c r="I52" s="351" t="s">
        <v>198</v>
      </c>
      <c r="J52" s="351" t="s">
        <v>198</v>
      </c>
      <c r="K52" s="351" t="s">
        <v>198</v>
      </c>
      <c r="L52" s="351" t="s">
        <v>198</v>
      </c>
      <c r="M52" s="351" t="s">
        <v>198</v>
      </c>
      <c r="N52" s="351" t="s">
        <v>198</v>
      </c>
      <c r="O52" s="351" t="s">
        <v>198</v>
      </c>
      <c r="P52" s="351" t="s">
        <v>198</v>
      </c>
      <c r="Q52" s="351" t="s">
        <v>198</v>
      </c>
      <c r="R52" s="351" t="s">
        <v>198</v>
      </c>
      <c r="S52" s="351" t="s">
        <v>198</v>
      </c>
      <c r="T52" s="351" t="s">
        <v>198</v>
      </c>
      <c r="U52" s="351" t="s">
        <v>198</v>
      </c>
      <c r="V52" s="351" t="s">
        <v>198</v>
      </c>
      <c r="W52" s="351" t="s">
        <v>198</v>
      </c>
      <c r="X52" s="351" t="s">
        <v>198</v>
      </c>
      <c r="Y52" s="351" t="s">
        <v>198</v>
      </c>
      <c r="Z52" s="351" t="s">
        <v>198</v>
      </c>
      <c r="AA52" s="351" t="s">
        <v>198</v>
      </c>
      <c r="AB52" s="351" t="s">
        <v>198</v>
      </c>
      <c r="AC52" s="351" t="s">
        <v>198</v>
      </c>
      <c r="AD52" s="351" t="s">
        <v>198</v>
      </c>
      <c r="AE52" s="351" t="s">
        <v>198</v>
      </c>
      <c r="AF52" s="351" t="s">
        <v>198</v>
      </c>
      <c r="AG52" s="351" t="s">
        <v>198</v>
      </c>
      <c r="AH52" s="351" t="s">
        <v>198</v>
      </c>
      <c r="AI52" s="351" t="s">
        <v>198</v>
      </c>
      <c r="AJ52" s="351">
        <v>31794.804030225408</v>
      </c>
      <c r="AK52" s="351" t="s">
        <v>198</v>
      </c>
      <c r="AL52" s="351" t="s">
        <v>198</v>
      </c>
      <c r="AM52" s="351" t="s">
        <v>198</v>
      </c>
      <c r="AN52" s="351" t="s">
        <v>198</v>
      </c>
      <c r="AO52" s="351" t="s">
        <v>198</v>
      </c>
      <c r="AP52" s="351" t="s">
        <v>198</v>
      </c>
      <c r="AQ52" s="351" t="s">
        <v>198</v>
      </c>
      <c r="AR52" s="351" t="s">
        <v>198</v>
      </c>
      <c r="AS52" s="351" t="s">
        <v>198</v>
      </c>
      <c r="AT52" s="351" t="s">
        <v>198</v>
      </c>
      <c r="AU52" s="351" t="s">
        <v>198</v>
      </c>
      <c r="AV52" s="351" t="s">
        <v>198</v>
      </c>
      <c r="AW52" s="351" t="s">
        <v>198</v>
      </c>
    </row>
    <row r="53" spans="1:49" x14ac:dyDescent="0.25">
      <c r="A53" s="351" t="s">
        <v>494</v>
      </c>
      <c r="B53" s="351" t="s">
        <v>198</v>
      </c>
      <c r="C53" s="351" t="s">
        <v>198</v>
      </c>
      <c r="D53" s="351" t="s">
        <v>198</v>
      </c>
      <c r="E53" s="351" t="s">
        <v>198</v>
      </c>
      <c r="F53" s="351" t="s">
        <v>198</v>
      </c>
      <c r="G53" s="351" t="s">
        <v>198</v>
      </c>
      <c r="H53" s="351" t="s">
        <v>198</v>
      </c>
      <c r="I53" s="351" t="s">
        <v>198</v>
      </c>
      <c r="J53" s="351" t="s">
        <v>198</v>
      </c>
      <c r="K53" s="351" t="s">
        <v>198</v>
      </c>
      <c r="L53" s="351" t="s">
        <v>198</v>
      </c>
      <c r="M53" s="351" t="s">
        <v>198</v>
      </c>
      <c r="N53" s="351" t="s">
        <v>198</v>
      </c>
      <c r="O53" s="351" t="s">
        <v>198</v>
      </c>
      <c r="P53" s="351" t="s">
        <v>198</v>
      </c>
      <c r="Q53" s="351" t="s">
        <v>198</v>
      </c>
      <c r="R53" s="351" t="s">
        <v>198</v>
      </c>
      <c r="S53" s="351" t="s">
        <v>198</v>
      </c>
      <c r="T53" s="351" t="s">
        <v>198</v>
      </c>
      <c r="U53" s="351" t="s">
        <v>198</v>
      </c>
      <c r="V53" s="351" t="s">
        <v>198</v>
      </c>
      <c r="W53" s="351" t="s">
        <v>198</v>
      </c>
      <c r="X53" s="351" t="s">
        <v>198</v>
      </c>
      <c r="Y53" s="351" t="s">
        <v>198</v>
      </c>
      <c r="Z53" s="351" t="s">
        <v>198</v>
      </c>
      <c r="AA53" s="351" t="s">
        <v>198</v>
      </c>
      <c r="AB53" s="351" t="s">
        <v>198</v>
      </c>
      <c r="AC53" s="351" t="s">
        <v>198</v>
      </c>
      <c r="AD53" s="351" t="s">
        <v>198</v>
      </c>
      <c r="AE53" s="351" t="s">
        <v>198</v>
      </c>
      <c r="AF53" s="351" t="s">
        <v>198</v>
      </c>
      <c r="AG53" s="351" t="s">
        <v>198</v>
      </c>
      <c r="AH53" s="351" t="s">
        <v>198</v>
      </c>
      <c r="AI53" s="351" t="s">
        <v>198</v>
      </c>
      <c r="AJ53" s="351" t="s">
        <v>198</v>
      </c>
      <c r="AK53" s="351" t="s">
        <v>198</v>
      </c>
      <c r="AL53" s="351" t="s">
        <v>198</v>
      </c>
      <c r="AM53" s="351" t="s">
        <v>198</v>
      </c>
      <c r="AN53" s="351">
        <v>9137599.4850542992</v>
      </c>
      <c r="AO53" s="351" t="s">
        <v>198</v>
      </c>
      <c r="AP53" s="351" t="s">
        <v>198</v>
      </c>
      <c r="AQ53" s="155">
        <v>9136012</v>
      </c>
      <c r="AR53" s="351"/>
      <c r="AS53" s="351"/>
      <c r="AT53" s="351"/>
      <c r="AU53" s="351"/>
      <c r="AV53" s="351"/>
      <c r="AW53" s="351"/>
    </row>
    <row r="54" spans="1:49" x14ac:dyDescent="0.25">
      <c r="A54" s="351" t="s">
        <v>231</v>
      </c>
      <c r="B54" s="351" t="s">
        <v>198</v>
      </c>
      <c r="C54" s="351" t="s">
        <v>198</v>
      </c>
      <c r="D54" s="351" t="s">
        <v>198</v>
      </c>
      <c r="E54" s="351" t="s">
        <v>198</v>
      </c>
      <c r="F54" s="351" t="s">
        <v>198</v>
      </c>
      <c r="G54" s="351" t="s">
        <v>198</v>
      </c>
      <c r="H54" s="351" t="s">
        <v>198</v>
      </c>
      <c r="I54" s="351" t="s">
        <v>198</v>
      </c>
      <c r="J54" s="351" t="s">
        <v>198</v>
      </c>
      <c r="K54" s="351" t="s">
        <v>198</v>
      </c>
      <c r="L54" s="351" t="s">
        <v>198</v>
      </c>
      <c r="M54" s="351" t="s">
        <v>198</v>
      </c>
      <c r="N54" s="351" t="s">
        <v>198</v>
      </c>
      <c r="O54" s="351" t="s">
        <v>198</v>
      </c>
      <c r="P54" s="351" t="s">
        <v>198</v>
      </c>
      <c r="Q54" s="351" t="s">
        <v>198</v>
      </c>
      <c r="R54" s="351" t="s">
        <v>198</v>
      </c>
      <c r="S54" s="351" t="s">
        <v>198</v>
      </c>
      <c r="T54" s="351" t="s">
        <v>198</v>
      </c>
      <c r="U54" s="351" t="s">
        <v>198</v>
      </c>
      <c r="V54" s="351" t="s">
        <v>198</v>
      </c>
      <c r="W54" s="351" t="s">
        <v>198</v>
      </c>
      <c r="X54" s="351" t="s">
        <v>198</v>
      </c>
      <c r="Y54" s="351" t="s">
        <v>198</v>
      </c>
      <c r="Z54" s="351" t="s">
        <v>198</v>
      </c>
      <c r="AA54" s="351" t="s">
        <v>198</v>
      </c>
      <c r="AB54" s="351" t="s">
        <v>198</v>
      </c>
      <c r="AC54" s="351" t="s">
        <v>198</v>
      </c>
      <c r="AD54" s="351" t="s">
        <v>198</v>
      </c>
      <c r="AE54" s="351" t="s">
        <v>198</v>
      </c>
      <c r="AF54" s="351" t="s">
        <v>198</v>
      </c>
      <c r="AG54" s="351" t="s">
        <v>198</v>
      </c>
      <c r="AH54" s="351" t="s">
        <v>198</v>
      </c>
      <c r="AI54" s="351" t="s">
        <v>198</v>
      </c>
      <c r="AJ54" s="351" t="s">
        <v>198</v>
      </c>
      <c r="AK54" s="351" t="s">
        <v>198</v>
      </c>
      <c r="AL54" s="351" t="s">
        <v>198</v>
      </c>
      <c r="AM54" s="351" t="s">
        <v>198</v>
      </c>
      <c r="AN54" s="351" t="s">
        <v>198</v>
      </c>
      <c r="AO54" s="351">
        <v>2119.4204796076201</v>
      </c>
      <c r="AP54" s="351" t="s">
        <v>198</v>
      </c>
      <c r="AQ54" s="351" t="s">
        <v>198</v>
      </c>
      <c r="AR54" s="351" t="s">
        <v>198</v>
      </c>
      <c r="AS54" s="351" t="s">
        <v>198</v>
      </c>
      <c r="AT54" s="351" t="s">
        <v>198</v>
      </c>
      <c r="AU54" s="351" t="s">
        <v>198</v>
      </c>
      <c r="AV54" s="351" t="s">
        <v>198</v>
      </c>
      <c r="AW54" s="351" t="s">
        <v>198</v>
      </c>
    </row>
  </sheetData>
  <mergeCells count="6">
    <mergeCell ref="B34:AW34"/>
    <mergeCell ref="A36:AW36"/>
    <mergeCell ref="A38:AW38"/>
    <mergeCell ref="B6:AW6"/>
    <mergeCell ref="A8:AW8"/>
    <mergeCell ref="A10:AW10"/>
  </mergeCells>
  <pageMargins left="0.7" right="0.7" top="0.75" bottom="0.75" header="0.3" footer="0.3"/>
  <pageSetup paperSize="9" orientation="portrait" r:id="rId1"/>
  <ignoredErrors>
    <ignoredError sqref="I1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topLeftCell="A12" workbookViewId="0">
      <selection activeCell="B20" sqref="B20:E24"/>
    </sheetView>
  </sheetViews>
  <sheetFormatPr baseColWidth="10" defaultRowHeight="15" x14ac:dyDescent="0.25"/>
  <cols>
    <col min="2" max="2" width="30.5703125" customWidth="1"/>
    <col min="6" max="6" width="54" customWidth="1"/>
  </cols>
  <sheetData>
    <row r="1" spans="2:7" x14ac:dyDescent="0.25">
      <c r="B1" s="357"/>
      <c r="C1" s="357"/>
      <c r="D1" s="357"/>
      <c r="E1" s="357"/>
      <c r="F1" s="357"/>
      <c r="G1" s="3"/>
    </row>
    <row r="2" spans="2:7" x14ac:dyDescent="0.25">
      <c r="B2" s="357"/>
      <c r="C2" s="357"/>
      <c r="D2" s="357"/>
      <c r="E2" s="357"/>
      <c r="F2" s="357"/>
      <c r="G2" s="3"/>
    </row>
    <row r="3" spans="2:7" x14ac:dyDescent="0.25">
      <c r="B3" s="357"/>
      <c r="C3" s="357"/>
      <c r="D3" s="357"/>
      <c r="E3" s="357"/>
      <c r="F3" s="357"/>
      <c r="G3" s="3"/>
    </row>
    <row r="4" spans="2:7" x14ac:dyDescent="0.25">
      <c r="B4" s="357"/>
      <c r="C4" s="357"/>
      <c r="D4" s="357"/>
      <c r="E4" s="357"/>
      <c r="F4" s="357"/>
      <c r="G4" s="3"/>
    </row>
    <row r="5" spans="2:7" x14ac:dyDescent="0.25">
      <c r="B5" s="357"/>
      <c r="C5" s="357"/>
      <c r="D5" s="357"/>
      <c r="E5" s="357"/>
      <c r="F5" s="357"/>
      <c r="G5" s="3"/>
    </row>
    <row r="6" spans="2:7" x14ac:dyDescent="0.25">
      <c r="B6" s="357"/>
      <c r="C6" s="357"/>
      <c r="D6" s="357"/>
      <c r="E6" s="357"/>
      <c r="F6" s="357"/>
      <c r="G6" s="3"/>
    </row>
    <row r="7" spans="2:7" x14ac:dyDescent="0.25">
      <c r="B7" s="357"/>
      <c r="C7" s="357"/>
      <c r="D7" s="357"/>
      <c r="E7" s="357"/>
      <c r="F7" s="357"/>
      <c r="G7" s="3"/>
    </row>
    <row r="8" spans="2:7" x14ac:dyDescent="0.25">
      <c r="B8" s="357"/>
      <c r="C8" s="357"/>
      <c r="D8" s="357"/>
      <c r="E8" s="357"/>
      <c r="F8" s="357"/>
      <c r="G8" s="3"/>
    </row>
    <row r="9" spans="2:7" x14ac:dyDescent="0.25">
      <c r="B9" s="357"/>
      <c r="C9" s="357"/>
      <c r="D9" s="357"/>
      <c r="E9" s="357"/>
      <c r="F9" s="357"/>
      <c r="G9" s="3"/>
    </row>
    <row r="10" spans="2:7" x14ac:dyDescent="0.25">
      <c r="B10" s="357"/>
      <c r="C10" s="357"/>
      <c r="D10" s="357"/>
      <c r="E10" s="357"/>
      <c r="F10" s="357"/>
      <c r="G10" s="3"/>
    </row>
    <row r="11" spans="2:7" x14ac:dyDescent="0.25">
      <c r="B11" s="357"/>
      <c r="C11" s="357"/>
      <c r="D11" s="357"/>
      <c r="E11" s="357"/>
      <c r="F11" s="357"/>
      <c r="G11" s="3"/>
    </row>
    <row r="12" spans="2:7" x14ac:dyDescent="0.25">
      <c r="B12" s="357"/>
      <c r="C12" s="357"/>
      <c r="D12" s="357"/>
      <c r="E12" s="357"/>
      <c r="F12" s="357"/>
      <c r="G12" s="3"/>
    </row>
    <row r="14" spans="2:7" x14ac:dyDescent="0.25">
      <c r="B14" s="340" t="s">
        <v>51</v>
      </c>
      <c r="C14" s="311" t="s">
        <v>62</v>
      </c>
      <c r="D14" s="311" t="s">
        <v>45</v>
      </c>
      <c r="E14" s="311" t="s">
        <v>46</v>
      </c>
      <c r="F14" s="339" t="s">
        <v>63</v>
      </c>
    </row>
    <row r="15" spans="2:7" x14ac:dyDescent="0.25">
      <c r="B15" s="338" t="s">
        <v>742</v>
      </c>
      <c r="C15" s="297" t="s">
        <v>663</v>
      </c>
      <c r="D15" s="297">
        <v>1E-4</v>
      </c>
      <c r="E15" s="297" t="s">
        <v>92</v>
      </c>
      <c r="F15" s="298" t="s">
        <v>662</v>
      </c>
    </row>
    <row r="16" spans="2:7" x14ac:dyDescent="0.25">
      <c r="B16" s="337" t="s">
        <v>740</v>
      </c>
      <c r="C16" s="106" t="s">
        <v>660</v>
      </c>
      <c r="D16" s="106">
        <v>8.64</v>
      </c>
      <c r="E16" s="106" t="s">
        <v>739</v>
      </c>
      <c r="F16" s="296"/>
    </row>
    <row r="20" spans="2:7" x14ac:dyDescent="0.25">
      <c r="B20" s="195" t="s">
        <v>12</v>
      </c>
      <c r="C20" s="151" t="s">
        <v>62</v>
      </c>
      <c r="D20" s="151" t="s">
        <v>45</v>
      </c>
      <c r="E20" s="151" t="s">
        <v>46</v>
      </c>
      <c r="F20" s="142" t="s">
        <v>61</v>
      </c>
    </row>
    <row r="21" spans="2:7" x14ac:dyDescent="0.25">
      <c r="B21" s="189" t="s">
        <v>1175</v>
      </c>
      <c r="C21" s="7" t="s">
        <v>670</v>
      </c>
      <c r="D21" s="7">
        <v>0.48</v>
      </c>
      <c r="E21" s="7" t="s">
        <v>40</v>
      </c>
      <c r="F21" s="140" t="s">
        <v>158</v>
      </c>
    </row>
    <row r="22" spans="2:7" x14ac:dyDescent="0.25">
      <c r="B22" s="287" t="s">
        <v>1176</v>
      </c>
      <c r="C22" s="290" t="s">
        <v>38</v>
      </c>
      <c r="D22" s="290">
        <v>0.53</v>
      </c>
      <c r="E22" s="290" t="s">
        <v>40</v>
      </c>
      <c r="F22" s="291" t="s">
        <v>158</v>
      </c>
    </row>
    <row r="23" spans="2:7" x14ac:dyDescent="0.25">
      <c r="B23" s="287" t="s">
        <v>1177</v>
      </c>
      <c r="C23" s="106" t="s">
        <v>676</v>
      </c>
      <c r="D23" s="290">
        <v>1.05</v>
      </c>
      <c r="E23" s="290" t="s">
        <v>40</v>
      </c>
      <c r="F23" s="291" t="s">
        <v>158</v>
      </c>
    </row>
    <row r="24" spans="2:7" x14ac:dyDescent="0.25">
      <c r="B24" s="287" t="s">
        <v>1178</v>
      </c>
      <c r="C24" s="5" t="s">
        <v>1150</v>
      </c>
      <c r="D24" s="290">
        <v>180</v>
      </c>
      <c r="E24" s="290" t="s">
        <v>1179</v>
      </c>
      <c r="F24" s="291" t="s">
        <v>158</v>
      </c>
    </row>
    <row r="25" spans="2:7" x14ac:dyDescent="0.25">
      <c r="B25" s="289"/>
      <c r="C25" s="315"/>
      <c r="D25" s="289"/>
      <c r="E25" s="289"/>
      <c r="F25" s="289"/>
    </row>
    <row r="26" spans="2:7" x14ac:dyDescent="0.25">
      <c r="B26" s="311" t="s">
        <v>50</v>
      </c>
      <c r="C26" s="311" t="s">
        <v>62</v>
      </c>
      <c r="D26" s="311" t="s">
        <v>45</v>
      </c>
      <c r="E26" s="311" t="s">
        <v>46</v>
      </c>
      <c r="F26" s="311" t="s">
        <v>157</v>
      </c>
      <c r="G26" s="311" t="s">
        <v>61</v>
      </c>
    </row>
    <row r="27" spans="2:7" x14ac:dyDescent="0.25">
      <c r="B27" s="297" t="s">
        <v>1180</v>
      </c>
      <c r="C27" s="348" t="s">
        <v>1181</v>
      </c>
      <c r="D27" s="297">
        <v>5</v>
      </c>
      <c r="E27" s="348" t="s">
        <v>167</v>
      </c>
      <c r="F27" s="297" t="s">
        <v>1182</v>
      </c>
      <c r="G27" s="308" t="s">
        <v>652</v>
      </c>
    </row>
    <row r="28" spans="2:7" x14ac:dyDescent="0.25">
      <c r="B28" s="289"/>
      <c r="C28" s="315"/>
      <c r="D28" s="289"/>
      <c r="E28" s="289"/>
      <c r="F28" s="289"/>
    </row>
    <row r="30" spans="2:7" x14ac:dyDescent="0.25">
      <c r="B30" s="300" t="s">
        <v>1124</v>
      </c>
      <c r="C30" s="301" t="s">
        <v>62</v>
      </c>
      <c r="D30" s="301" t="s">
        <v>45</v>
      </c>
      <c r="E30" s="301" t="s">
        <v>197</v>
      </c>
    </row>
    <row r="31" spans="2:7" x14ac:dyDescent="0.25">
      <c r="B31" s="299" t="s">
        <v>698</v>
      </c>
      <c r="C31" s="302" t="s">
        <v>1123</v>
      </c>
      <c r="D31" s="302">
        <v>8755</v>
      </c>
      <c r="E31" s="302" t="s">
        <v>688</v>
      </c>
    </row>
    <row r="32" spans="2:7" x14ac:dyDescent="0.25">
      <c r="B32" s="303" t="s">
        <v>1183</v>
      </c>
      <c r="C32" s="304" t="s">
        <v>1184</v>
      </c>
      <c r="D32" s="304">
        <f>D31*0.000001</f>
        <v>8.7549999999999989E-3</v>
      </c>
      <c r="E32" s="304" t="s">
        <v>1193</v>
      </c>
    </row>
    <row r="34" spans="1:9" x14ac:dyDescent="0.25">
      <c r="B34" s="305" t="s">
        <v>933</v>
      </c>
      <c r="C34" s="294" t="s">
        <v>62</v>
      </c>
      <c r="D34" s="294" t="s">
        <v>45</v>
      </c>
      <c r="E34" s="294" t="s">
        <v>197</v>
      </c>
    </row>
    <row r="35" spans="1:9" x14ac:dyDescent="0.25">
      <c r="B35" s="330" t="s">
        <v>698</v>
      </c>
      <c r="C35" s="306" t="s">
        <v>1123</v>
      </c>
      <c r="D35" s="306">
        <v>11639</v>
      </c>
      <c r="E35" s="306" t="s">
        <v>688</v>
      </c>
    </row>
    <row r="36" spans="1:9" x14ac:dyDescent="0.25">
      <c r="B36" s="329" t="s">
        <v>1185</v>
      </c>
      <c r="C36" s="328" t="s">
        <v>1184</v>
      </c>
      <c r="D36" s="327">
        <f>D35*0.001*D27/5000</f>
        <v>1.1639000000000002E-2</v>
      </c>
      <c r="E36" s="326" t="s">
        <v>1193</v>
      </c>
    </row>
    <row r="37" spans="1:9" x14ac:dyDescent="0.25">
      <c r="B37" s="325"/>
      <c r="C37" s="325"/>
    </row>
    <row r="38" spans="1:9" x14ac:dyDescent="0.25">
      <c r="B38" s="307" t="s">
        <v>932</v>
      </c>
      <c r="C38" s="295" t="s">
        <v>62</v>
      </c>
      <c r="D38" s="295" t="s">
        <v>45</v>
      </c>
      <c r="E38" s="295" t="s">
        <v>197</v>
      </c>
    </row>
    <row r="39" spans="1:9" x14ac:dyDescent="0.25">
      <c r="B39" s="323" t="s">
        <v>698</v>
      </c>
      <c r="C39" s="324" t="s">
        <v>697</v>
      </c>
      <c r="D39" s="323">
        <v>8755</v>
      </c>
      <c r="E39" s="322" t="s">
        <v>688</v>
      </c>
    </row>
    <row r="40" spans="1:9" x14ac:dyDescent="0.25">
      <c r="B40" s="321" t="s">
        <v>1183</v>
      </c>
      <c r="C40" s="320" t="s">
        <v>1184</v>
      </c>
      <c r="D40" s="319">
        <f>0.001*D39*D27/5000</f>
        <v>8.7550000000000006E-3</v>
      </c>
      <c r="E40" s="319" t="s">
        <v>1193</v>
      </c>
    </row>
    <row r="41" spans="1:9" x14ac:dyDescent="0.25">
      <c r="C41" s="341"/>
    </row>
    <row r="42" spans="1:9" x14ac:dyDescent="0.25">
      <c r="A42" s="21" t="s">
        <v>606</v>
      </c>
    </row>
    <row r="43" spans="1:9" x14ac:dyDescent="0.25">
      <c r="A43" s="181" t="s">
        <v>1186</v>
      </c>
      <c r="B43" s="181"/>
      <c r="C43" s="181"/>
      <c r="D43" s="181"/>
      <c r="E43" s="181"/>
      <c r="F43" s="181"/>
      <c r="G43" s="181"/>
      <c r="H43" s="181"/>
      <c r="I43" s="181"/>
    </row>
    <row r="44" spans="1:9" ht="29.25" customHeight="1" x14ac:dyDescent="0.25">
      <c r="A44" s="366" t="s">
        <v>1204</v>
      </c>
      <c r="B44" s="366"/>
      <c r="C44" s="366"/>
      <c r="D44" s="366"/>
      <c r="E44" s="366"/>
      <c r="F44" s="366"/>
      <c r="G44" s="366"/>
      <c r="H44" s="366"/>
      <c r="I44" s="366"/>
    </row>
  </sheetData>
  <mergeCells count="2">
    <mergeCell ref="B1:F12"/>
    <mergeCell ref="A44:I44"/>
  </mergeCells>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tabSelected="1" topLeftCell="A48" workbookViewId="0">
      <selection activeCell="A58" sqref="A58"/>
    </sheetView>
  </sheetViews>
  <sheetFormatPr baseColWidth="10" defaultRowHeight="15" x14ac:dyDescent="0.25"/>
  <cols>
    <col min="2" max="2" width="36.85546875" customWidth="1"/>
    <col min="6" max="6" width="48.42578125" customWidth="1"/>
    <col min="7" max="7" width="59.85546875" customWidth="1"/>
  </cols>
  <sheetData>
    <row r="1" spans="2:6" x14ac:dyDescent="0.25">
      <c r="B1" s="357"/>
      <c r="C1" s="357"/>
      <c r="D1" s="357"/>
      <c r="E1" s="357"/>
      <c r="F1" s="357"/>
    </row>
    <row r="2" spans="2:6" x14ac:dyDescent="0.25">
      <c r="B2" s="357"/>
      <c r="C2" s="357"/>
      <c r="D2" s="357"/>
      <c r="E2" s="357"/>
      <c r="F2" s="357"/>
    </row>
    <row r="3" spans="2:6" x14ac:dyDescent="0.25">
      <c r="B3" s="357"/>
      <c r="C3" s="357"/>
      <c r="D3" s="357"/>
      <c r="E3" s="357"/>
      <c r="F3" s="357"/>
    </row>
    <row r="4" spans="2:6" x14ac:dyDescent="0.25">
      <c r="B4" s="357"/>
      <c r="C4" s="357"/>
      <c r="D4" s="357"/>
      <c r="E4" s="357"/>
      <c r="F4" s="357"/>
    </row>
    <row r="5" spans="2:6" x14ac:dyDescent="0.25">
      <c r="B5" s="357"/>
      <c r="C5" s="357"/>
      <c r="D5" s="357"/>
      <c r="E5" s="357"/>
      <c r="F5" s="357"/>
    </row>
    <row r="6" spans="2:6" x14ac:dyDescent="0.25">
      <c r="B6" s="357"/>
      <c r="C6" s="357"/>
      <c r="D6" s="357"/>
      <c r="E6" s="357"/>
      <c r="F6" s="357"/>
    </row>
    <row r="7" spans="2:6" x14ac:dyDescent="0.25">
      <c r="B7" s="357"/>
      <c r="C7" s="357"/>
      <c r="D7" s="357"/>
      <c r="E7" s="357"/>
      <c r="F7" s="357"/>
    </row>
    <row r="8" spans="2:6" x14ac:dyDescent="0.25">
      <c r="B8" s="357"/>
      <c r="C8" s="357"/>
      <c r="D8" s="357"/>
      <c r="E8" s="357"/>
      <c r="F8" s="357"/>
    </row>
    <row r="9" spans="2:6" x14ac:dyDescent="0.25">
      <c r="B9" s="357"/>
      <c r="C9" s="357"/>
      <c r="D9" s="357"/>
      <c r="E9" s="357"/>
      <c r="F9" s="357"/>
    </row>
    <row r="10" spans="2:6" x14ac:dyDescent="0.25">
      <c r="B10" s="357"/>
      <c r="C10" s="357"/>
      <c r="D10" s="357"/>
      <c r="E10" s="357"/>
      <c r="F10" s="357"/>
    </row>
    <row r="11" spans="2:6" x14ac:dyDescent="0.25">
      <c r="B11" s="357"/>
      <c r="C11" s="357"/>
      <c r="D11" s="357"/>
      <c r="E11" s="357"/>
      <c r="F11" s="357"/>
    </row>
    <row r="12" spans="2:6" x14ac:dyDescent="0.25">
      <c r="B12" s="357"/>
      <c r="C12" s="357"/>
      <c r="D12" s="357"/>
      <c r="E12" s="357"/>
      <c r="F12" s="357"/>
    </row>
    <row r="15" spans="2:6" x14ac:dyDescent="0.25">
      <c r="B15" s="340" t="s">
        <v>51</v>
      </c>
      <c r="C15" s="311" t="s">
        <v>62</v>
      </c>
      <c r="D15" s="311" t="s">
        <v>45</v>
      </c>
      <c r="E15" s="311" t="s">
        <v>46</v>
      </c>
      <c r="F15" s="339" t="s">
        <v>63</v>
      </c>
    </row>
    <row r="16" spans="2:6" x14ac:dyDescent="0.25">
      <c r="B16" s="338" t="s">
        <v>742</v>
      </c>
      <c r="C16" s="297" t="s">
        <v>663</v>
      </c>
      <c r="D16" s="297">
        <v>1E-4</v>
      </c>
      <c r="E16" s="297" t="s">
        <v>92</v>
      </c>
      <c r="F16" s="298" t="s">
        <v>662</v>
      </c>
    </row>
    <row r="17" spans="2:14" x14ac:dyDescent="0.25">
      <c r="B17" s="337" t="s">
        <v>740</v>
      </c>
      <c r="C17" s="106" t="s">
        <v>660</v>
      </c>
      <c r="D17" s="106">
        <v>8.64</v>
      </c>
      <c r="E17" s="106" t="s">
        <v>739</v>
      </c>
      <c r="F17" s="296"/>
    </row>
    <row r="20" spans="2:14" x14ac:dyDescent="0.25">
      <c r="B20" s="195" t="s">
        <v>12</v>
      </c>
      <c r="C20" s="151" t="s">
        <v>62</v>
      </c>
      <c r="D20" s="151" t="s">
        <v>45</v>
      </c>
      <c r="E20" s="151" t="s">
        <v>46</v>
      </c>
      <c r="F20" s="142" t="s">
        <v>61</v>
      </c>
    </row>
    <row r="21" spans="2:14" x14ac:dyDescent="0.25">
      <c r="B21" s="336" t="s">
        <v>1158</v>
      </c>
      <c r="C21" s="193" t="s">
        <v>34</v>
      </c>
      <c r="D21" s="193">
        <v>2.5</v>
      </c>
      <c r="E21" s="193" t="s">
        <v>1125</v>
      </c>
      <c r="F21" s="191" t="s">
        <v>158</v>
      </c>
    </row>
    <row r="22" spans="2:14" ht="33.75" customHeight="1" x14ac:dyDescent="0.25">
      <c r="B22" s="332" t="s">
        <v>1157</v>
      </c>
      <c r="C22" s="239" t="s">
        <v>1156</v>
      </c>
      <c r="D22" s="239">
        <v>36.299999999999997</v>
      </c>
      <c r="E22" s="239" t="s">
        <v>1125</v>
      </c>
      <c r="F22" s="252" t="s">
        <v>158</v>
      </c>
      <c r="H22" s="311" t="s">
        <v>50</v>
      </c>
      <c r="I22" s="311" t="s">
        <v>62</v>
      </c>
      <c r="J22" s="311" t="s">
        <v>45</v>
      </c>
      <c r="K22" s="311" t="s">
        <v>46</v>
      </c>
      <c r="L22" s="311" t="s">
        <v>65</v>
      </c>
      <c r="M22" s="312" t="s">
        <v>60</v>
      </c>
      <c r="N22" s="311" t="s">
        <v>61</v>
      </c>
    </row>
    <row r="23" spans="2:14" ht="34.5" customHeight="1" x14ac:dyDescent="0.25">
      <c r="B23" s="332" t="s">
        <v>1155</v>
      </c>
      <c r="C23" s="335" t="s">
        <v>1154</v>
      </c>
      <c r="D23" s="239">
        <f>D22*2/3</f>
        <v>24.2</v>
      </c>
      <c r="E23" s="239" t="s">
        <v>1125</v>
      </c>
      <c r="F23" s="252" t="s">
        <v>158</v>
      </c>
      <c r="H23" s="106" t="s">
        <v>628</v>
      </c>
      <c r="I23" s="70" t="s">
        <v>627</v>
      </c>
      <c r="J23" s="106">
        <v>15.371</v>
      </c>
      <c r="K23" s="70" t="s">
        <v>626</v>
      </c>
      <c r="L23" s="310"/>
      <c r="M23" s="313" t="s">
        <v>1117</v>
      </c>
      <c r="N23" s="309" t="s">
        <v>168</v>
      </c>
    </row>
    <row r="24" spans="2:14" ht="30.75" customHeight="1" x14ac:dyDescent="0.25">
      <c r="B24" s="332" t="s">
        <v>1153</v>
      </c>
      <c r="C24" s="217" t="s">
        <v>1152</v>
      </c>
      <c r="D24" s="239">
        <v>35.6</v>
      </c>
      <c r="E24" s="239" t="s">
        <v>1125</v>
      </c>
      <c r="F24" s="252" t="s">
        <v>158</v>
      </c>
    </row>
    <row r="25" spans="2:14" x14ac:dyDescent="0.25">
      <c r="B25" s="331" t="s">
        <v>1151</v>
      </c>
      <c r="C25" s="217" t="s">
        <v>1150</v>
      </c>
      <c r="D25" s="239">
        <v>9.3000000000000007</v>
      </c>
      <c r="E25" s="239" t="s">
        <v>1125</v>
      </c>
      <c r="F25" s="252" t="s">
        <v>158</v>
      </c>
    </row>
    <row r="26" spans="2:14" x14ac:dyDescent="0.25">
      <c r="B26" s="331" t="s">
        <v>1149</v>
      </c>
      <c r="C26" s="309" t="s">
        <v>530</v>
      </c>
      <c r="D26" s="239">
        <v>16.8</v>
      </c>
      <c r="E26" s="239" t="s">
        <v>1125</v>
      </c>
      <c r="F26" s="252" t="s">
        <v>158</v>
      </c>
    </row>
    <row r="27" spans="2:14" x14ac:dyDescent="0.25">
      <c r="B27" s="331" t="s">
        <v>1148</v>
      </c>
      <c r="C27" s="217" t="s">
        <v>1147</v>
      </c>
      <c r="D27" s="239">
        <v>22.9</v>
      </c>
      <c r="E27" s="239" t="s">
        <v>1125</v>
      </c>
      <c r="F27" s="252" t="s">
        <v>158</v>
      </c>
    </row>
    <row r="28" spans="2:14" x14ac:dyDescent="0.25">
      <c r="B28" s="334" t="s">
        <v>1146</v>
      </c>
      <c r="C28" s="333" t="s">
        <v>1145</v>
      </c>
      <c r="D28" s="292">
        <v>7.6</v>
      </c>
      <c r="E28" s="292" t="s">
        <v>1125</v>
      </c>
      <c r="F28" s="240" t="s">
        <v>158</v>
      </c>
    </row>
    <row r="29" spans="2:14" ht="38.25" customHeight="1" x14ac:dyDescent="0.25">
      <c r="B29" s="332" t="s">
        <v>1144</v>
      </c>
      <c r="C29" s="217" t="s">
        <v>171</v>
      </c>
      <c r="D29" s="239">
        <v>20.3</v>
      </c>
      <c r="E29" s="239" t="s">
        <v>1125</v>
      </c>
      <c r="F29" s="252" t="s">
        <v>158</v>
      </c>
    </row>
    <row r="30" spans="2:14" ht="28.5" customHeight="1" x14ac:dyDescent="0.25">
      <c r="B30" s="332" t="s">
        <v>1143</v>
      </c>
      <c r="C30" s="217" t="s">
        <v>1142</v>
      </c>
      <c r="D30" s="239">
        <v>1.9</v>
      </c>
      <c r="E30" s="239" t="s">
        <v>1125</v>
      </c>
      <c r="F30" s="252" t="s">
        <v>158</v>
      </c>
    </row>
    <row r="31" spans="2:14" x14ac:dyDescent="0.25">
      <c r="B31" s="331" t="s">
        <v>1141</v>
      </c>
      <c r="C31" s="217" t="s">
        <v>106</v>
      </c>
      <c r="D31" s="239">
        <v>2.9</v>
      </c>
      <c r="E31" s="239" t="s">
        <v>1125</v>
      </c>
      <c r="F31" s="252" t="s">
        <v>158</v>
      </c>
    </row>
    <row r="32" spans="2:14" x14ac:dyDescent="0.25">
      <c r="B32" s="331" t="s">
        <v>1140</v>
      </c>
      <c r="C32" s="217" t="s">
        <v>174</v>
      </c>
      <c r="D32" s="239">
        <v>30.5</v>
      </c>
      <c r="E32" s="239" t="s">
        <v>1125</v>
      </c>
      <c r="F32" s="252" t="s">
        <v>158</v>
      </c>
    </row>
    <row r="33" spans="2:19" x14ac:dyDescent="0.25">
      <c r="B33" s="331" t="s">
        <v>1139</v>
      </c>
      <c r="C33" s="217" t="s">
        <v>1138</v>
      </c>
      <c r="D33" s="239">
        <v>50</v>
      </c>
      <c r="E33" s="239" t="s">
        <v>1125</v>
      </c>
      <c r="F33" s="252" t="s">
        <v>158</v>
      </c>
    </row>
    <row r="34" spans="2:19" x14ac:dyDescent="0.25">
      <c r="B34" s="331" t="s">
        <v>1137</v>
      </c>
      <c r="C34" s="217" t="s">
        <v>1136</v>
      </c>
      <c r="D34" s="239">
        <v>9.3000000000000007</v>
      </c>
      <c r="E34" s="239" t="s">
        <v>1125</v>
      </c>
      <c r="F34" s="252" t="s">
        <v>158</v>
      </c>
    </row>
    <row r="35" spans="2:19" x14ac:dyDescent="0.25">
      <c r="B35" s="331" t="s">
        <v>1135</v>
      </c>
      <c r="C35" s="217" t="s">
        <v>1134</v>
      </c>
      <c r="D35" s="239">
        <v>47.7</v>
      </c>
      <c r="E35" s="239" t="s">
        <v>1125</v>
      </c>
      <c r="F35" s="252" t="s">
        <v>158</v>
      </c>
    </row>
    <row r="36" spans="2:19" ht="15" customHeight="1" x14ac:dyDescent="0.25">
      <c r="B36" s="331" t="s">
        <v>1133</v>
      </c>
      <c r="C36" s="217" t="s">
        <v>91</v>
      </c>
      <c r="D36" s="239">
        <v>9.3000000000000007</v>
      </c>
      <c r="E36" s="239" t="s">
        <v>1125</v>
      </c>
      <c r="F36" s="252" t="s">
        <v>158</v>
      </c>
    </row>
    <row r="37" spans="2:19" x14ac:dyDescent="0.25">
      <c r="B37" s="331" t="s">
        <v>1132</v>
      </c>
      <c r="C37" s="217" t="s">
        <v>1131</v>
      </c>
      <c r="D37" s="239">
        <v>2.9</v>
      </c>
      <c r="E37" s="239" t="s">
        <v>1125</v>
      </c>
      <c r="F37" s="252" t="s">
        <v>158</v>
      </c>
    </row>
    <row r="38" spans="2:19" ht="12.75" customHeight="1" x14ac:dyDescent="0.25">
      <c r="B38" s="331" t="s">
        <v>1130</v>
      </c>
      <c r="C38" s="217" t="s">
        <v>1129</v>
      </c>
      <c r="D38" s="239">
        <v>20</v>
      </c>
      <c r="E38" s="239" t="s">
        <v>1128</v>
      </c>
      <c r="F38" s="252" t="s">
        <v>158</v>
      </c>
      <c r="G38" s="286"/>
      <c r="H38" s="286"/>
      <c r="I38" s="286"/>
      <c r="J38" s="286"/>
      <c r="K38" s="286"/>
      <c r="L38" s="286"/>
      <c r="M38" s="286"/>
      <c r="N38" s="286"/>
      <c r="O38" s="286"/>
      <c r="P38" s="286"/>
      <c r="Q38" s="286"/>
      <c r="R38" s="286"/>
      <c r="S38" s="286"/>
    </row>
    <row r="39" spans="2:19" x14ac:dyDescent="0.25">
      <c r="B39" s="331" t="s">
        <v>1127</v>
      </c>
      <c r="C39" s="217" t="s">
        <v>1126</v>
      </c>
      <c r="D39" s="239">
        <v>7.6</v>
      </c>
      <c r="E39" s="239" t="s">
        <v>1125</v>
      </c>
      <c r="F39" s="252" t="s">
        <v>158</v>
      </c>
    </row>
    <row r="40" spans="2:19" x14ac:dyDescent="0.25">
      <c r="B40" s="289"/>
      <c r="C40" s="315"/>
      <c r="D40" s="289"/>
      <c r="E40" s="289"/>
      <c r="F40" s="289"/>
    </row>
    <row r="41" spans="2:19" x14ac:dyDescent="0.25">
      <c r="B41" s="311" t="s">
        <v>50</v>
      </c>
      <c r="C41" s="311" t="s">
        <v>62</v>
      </c>
      <c r="D41" s="311" t="s">
        <v>45</v>
      </c>
      <c r="E41" s="311" t="s">
        <v>46</v>
      </c>
      <c r="F41" s="311" t="s">
        <v>65</v>
      </c>
      <c r="G41" s="312" t="s">
        <v>60</v>
      </c>
      <c r="H41" s="311" t="s">
        <v>61</v>
      </c>
    </row>
    <row r="42" spans="2:19" ht="45" x14ac:dyDescent="0.25">
      <c r="B42" s="106" t="s">
        <v>628</v>
      </c>
      <c r="C42" s="70" t="s">
        <v>627</v>
      </c>
      <c r="D42" s="106">
        <v>15.371</v>
      </c>
      <c r="E42" s="70" t="s">
        <v>626</v>
      </c>
      <c r="F42" s="310"/>
      <c r="G42" s="313" t="s">
        <v>1117</v>
      </c>
      <c r="H42" s="309" t="s">
        <v>159</v>
      </c>
    </row>
    <row r="43" spans="2:19" x14ac:dyDescent="0.25">
      <c r="B43" s="289"/>
      <c r="C43" s="315"/>
      <c r="D43" s="289"/>
      <c r="E43" s="289"/>
      <c r="F43" s="289"/>
    </row>
    <row r="44" spans="2:19" x14ac:dyDescent="0.25">
      <c r="B44" s="300" t="s">
        <v>1124</v>
      </c>
      <c r="C44" s="301" t="s">
        <v>62</v>
      </c>
      <c r="D44" s="301" t="s">
        <v>45</v>
      </c>
      <c r="E44" s="301" t="s">
        <v>197</v>
      </c>
      <c r="F44" s="289"/>
    </row>
    <row r="45" spans="2:19" x14ac:dyDescent="0.25">
      <c r="B45" s="299" t="s">
        <v>698</v>
      </c>
      <c r="C45" s="302" t="s">
        <v>1123</v>
      </c>
      <c r="D45" s="302">
        <v>8755</v>
      </c>
      <c r="E45" s="302" t="s">
        <v>688</v>
      </c>
      <c r="F45" s="289"/>
    </row>
    <row r="46" spans="2:19" x14ac:dyDescent="0.25">
      <c r="B46" s="303" t="s">
        <v>1121</v>
      </c>
      <c r="C46" s="304" t="s">
        <v>1120</v>
      </c>
      <c r="D46" s="304">
        <f>D45*D42/1000000</f>
        <v>0.134573105</v>
      </c>
      <c r="E46" s="304" t="s">
        <v>1193</v>
      </c>
      <c r="F46" s="182"/>
      <c r="G46" s="182"/>
      <c r="H46" s="182"/>
      <c r="I46" s="182"/>
      <c r="J46" s="182"/>
      <c r="K46" s="182"/>
      <c r="L46" s="182"/>
      <c r="M46" s="182"/>
    </row>
    <row r="47" spans="2:19" x14ac:dyDescent="0.25">
      <c r="F47" s="182"/>
      <c r="G47" s="182"/>
      <c r="H47" s="182"/>
      <c r="I47" s="182"/>
      <c r="J47" s="182"/>
    </row>
    <row r="48" spans="2:19" x14ac:dyDescent="0.25">
      <c r="B48" s="305" t="s">
        <v>933</v>
      </c>
      <c r="C48" s="294" t="s">
        <v>62</v>
      </c>
      <c r="D48" s="294" t="s">
        <v>45</v>
      </c>
      <c r="E48" s="294" t="s">
        <v>197</v>
      </c>
    </row>
    <row r="49" spans="1:6" x14ac:dyDescent="0.25">
      <c r="B49" s="330" t="s">
        <v>698</v>
      </c>
      <c r="C49" s="306" t="s">
        <v>1123</v>
      </c>
      <c r="D49" s="306">
        <v>11639</v>
      </c>
      <c r="E49" s="306" t="s">
        <v>688</v>
      </c>
    </row>
    <row r="50" spans="1:6" x14ac:dyDescent="0.25">
      <c r="B50" s="329" t="s">
        <v>1122</v>
      </c>
      <c r="C50" s="328" t="s">
        <v>1120</v>
      </c>
      <c r="D50" s="327">
        <f>D49*D42/1000000</f>
        <v>0.17890306900000003</v>
      </c>
      <c r="E50" s="326" t="s">
        <v>1193</v>
      </c>
      <c r="F50" s="286"/>
    </row>
    <row r="51" spans="1:6" x14ac:dyDescent="0.25">
      <c r="B51" s="325"/>
      <c r="C51" s="325"/>
      <c r="F51" s="314"/>
    </row>
    <row r="52" spans="1:6" x14ac:dyDescent="0.25">
      <c r="B52" s="307" t="s">
        <v>932</v>
      </c>
      <c r="C52" s="295" t="s">
        <v>62</v>
      </c>
      <c r="D52" s="295" t="s">
        <v>45</v>
      </c>
      <c r="E52" s="295" t="s">
        <v>197</v>
      </c>
    </row>
    <row r="53" spans="1:6" x14ac:dyDescent="0.25">
      <c r="B53" s="323" t="s">
        <v>698</v>
      </c>
      <c r="C53" s="324" t="s">
        <v>697</v>
      </c>
      <c r="D53" s="323">
        <v>8755</v>
      </c>
      <c r="E53" s="322" t="s">
        <v>688</v>
      </c>
    </row>
    <row r="54" spans="1:6" x14ac:dyDescent="0.25">
      <c r="B54" s="321" t="s">
        <v>1121</v>
      </c>
      <c r="C54" s="320" t="s">
        <v>1120</v>
      </c>
      <c r="D54" s="319">
        <f>D53*D42/1000000</f>
        <v>0.134573105</v>
      </c>
      <c r="E54" s="319" t="s">
        <v>1193</v>
      </c>
      <c r="F54" s="318"/>
    </row>
    <row r="55" spans="1:6" x14ac:dyDescent="0.25">
      <c r="B55" s="289"/>
      <c r="C55" s="317"/>
      <c r="D55" s="289"/>
      <c r="E55" s="316"/>
    </row>
    <row r="56" spans="1:6" x14ac:dyDescent="0.25">
      <c r="B56" s="289"/>
      <c r="C56" s="315"/>
      <c r="D56" s="289"/>
      <c r="E56" s="289"/>
    </row>
    <row r="57" spans="1:6" x14ac:dyDescent="0.25">
      <c r="A57" s="21" t="s">
        <v>606</v>
      </c>
      <c r="B57" s="182"/>
      <c r="C57" s="182"/>
      <c r="D57" s="182"/>
      <c r="E57" s="182"/>
    </row>
    <row r="58" spans="1:6" x14ac:dyDescent="0.25">
      <c r="A58" s="182" t="s">
        <v>1119</v>
      </c>
      <c r="B58" s="182"/>
      <c r="C58" s="182"/>
      <c r="D58" s="182"/>
      <c r="E58" s="182"/>
    </row>
    <row r="59" spans="1:6" x14ac:dyDescent="0.25">
      <c r="A59" s="182" t="s">
        <v>1118</v>
      </c>
    </row>
    <row r="61" spans="1:6" x14ac:dyDescent="0.25">
      <c r="B61" s="286"/>
      <c r="C61" s="286"/>
      <c r="D61" s="286"/>
      <c r="E61" s="286"/>
    </row>
    <row r="62" spans="1:6" x14ac:dyDescent="0.25">
      <c r="B62" s="314"/>
      <c r="C62" s="314"/>
      <c r="D62" s="314"/>
      <c r="E62" s="314"/>
    </row>
    <row r="65" spans="2:5" x14ac:dyDescent="0.25">
      <c r="B65" s="286"/>
      <c r="C65" s="286"/>
      <c r="D65" s="286"/>
      <c r="E65" s="286"/>
    </row>
  </sheetData>
  <mergeCells count="1">
    <mergeCell ref="B1:F12"/>
  </mergeCells>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topLeftCell="A34" workbookViewId="0">
      <selection activeCell="A44" sqref="A44"/>
    </sheetView>
  </sheetViews>
  <sheetFormatPr baseColWidth="10" defaultRowHeight="15" x14ac:dyDescent="0.25"/>
  <cols>
    <col min="2" max="2" width="41.5703125" customWidth="1"/>
    <col min="6" max="6" width="55.140625" customWidth="1"/>
  </cols>
  <sheetData>
    <row r="1" spans="2:6" x14ac:dyDescent="0.25">
      <c r="B1" s="357"/>
      <c r="C1" s="357"/>
      <c r="D1" s="357"/>
      <c r="E1" s="357"/>
      <c r="F1" s="357"/>
    </row>
    <row r="2" spans="2:6" x14ac:dyDescent="0.25">
      <c r="B2" s="357"/>
      <c r="C2" s="357"/>
      <c r="D2" s="357"/>
      <c r="E2" s="357"/>
      <c r="F2" s="357"/>
    </row>
    <row r="3" spans="2:6" x14ac:dyDescent="0.25">
      <c r="B3" s="357"/>
      <c r="C3" s="357"/>
      <c r="D3" s="357"/>
      <c r="E3" s="357"/>
      <c r="F3" s="357"/>
    </row>
    <row r="4" spans="2:6" x14ac:dyDescent="0.25">
      <c r="B4" s="357"/>
      <c r="C4" s="357"/>
      <c r="D4" s="357"/>
      <c r="E4" s="357"/>
      <c r="F4" s="357"/>
    </row>
    <row r="5" spans="2:6" x14ac:dyDescent="0.25">
      <c r="B5" s="357"/>
      <c r="C5" s="357"/>
      <c r="D5" s="357"/>
      <c r="E5" s="357"/>
      <c r="F5" s="357"/>
    </row>
    <row r="6" spans="2:6" x14ac:dyDescent="0.25">
      <c r="B6" s="357"/>
      <c r="C6" s="357"/>
      <c r="D6" s="357"/>
      <c r="E6" s="357"/>
      <c r="F6" s="357"/>
    </row>
    <row r="7" spans="2:6" x14ac:dyDescent="0.25">
      <c r="B7" s="357"/>
      <c r="C7" s="357"/>
      <c r="D7" s="357"/>
      <c r="E7" s="357"/>
      <c r="F7" s="357"/>
    </row>
    <row r="8" spans="2:6" x14ac:dyDescent="0.25">
      <c r="B8" s="357"/>
      <c r="C8" s="357"/>
      <c r="D8" s="357"/>
      <c r="E8" s="357"/>
      <c r="F8" s="357"/>
    </row>
    <row r="9" spans="2:6" x14ac:dyDescent="0.25">
      <c r="B9" s="357"/>
      <c r="C9" s="357"/>
      <c r="D9" s="357"/>
      <c r="E9" s="357"/>
      <c r="F9" s="357"/>
    </row>
    <row r="10" spans="2:6" x14ac:dyDescent="0.25">
      <c r="B10" s="357"/>
      <c r="C10" s="357"/>
      <c r="D10" s="357"/>
      <c r="E10" s="357"/>
      <c r="F10" s="357"/>
    </row>
    <row r="11" spans="2:6" x14ac:dyDescent="0.25">
      <c r="B11" s="357"/>
      <c r="C11" s="357"/>
      <c r="D11" s="357"/>
      <c r="E11" s="357"/>
      <c r="F11" s="357"/>
    </row>
    <row r="12" spans="2:6" x14ac:dyDescent="0.25">
      <c r="B12" s="357"/>
      <c r="C12" s="357"/>
      <c r="D12" s="357"/>
      <c r="E12" s="357"/>
      <c r="F12" s="357"/>
    </row>
    <row r="14" spans="2:6" x14ac:dyDescent="0.25">
      <c r="B14" s="340" t="s">
        <v>51</v>
      </c>
      <c r="C14" s="311" t="s">
        <v>62</v>
      </c>
      <c r="D14" s="311" t="s">
        <v>45</v>
      </c>
      <c r="E14" s="311" t="s">
        <v>46</v>
      </c>
      <c r="F14" s="339" t="s">
        <v>63</v>
      </c>
    </row>
    <row r="15" spans="2:6" x14ac:dyDescent="0.25">
      <c r="B15" s="338" t="s">
        <v>742</v>
      </c>
      <c r="C15" s="297" t="s">
        <v>663</v>
      </c>
      <c r="D15" s="297">
        <v>1E-4</v>
      </c>
      <c r="E15" s="297" t="s">
        <v>92</v>
      </c>
      <c r="F15" s="298" t="s">
        <v>662</v>
      </c>
    </row>
    <row r="16" spans="2:6" x14ac:dyDescent="0.25">
      <c r="B16" s="337" t="s">
        <v>740</v>
      </c>
      <c r="C16" s="106" t="s">
        <v>660</v>
      </c>
      <c r="D16" s="106">
        <v>8.64</v>
      </c>
      <c r="E16" s="106" t="s">
        <v>739</v>
      </c>
      <c r="F16" s="296"/>
    </row>
    <row r="18" spans="2:6" x14ac:dyDescent="0.25">
      <c r="B18" s="195" t="s">
        <v>12</v>
      </c>
      <c r="C18" s="151" t="s">
        <v>62</v>
      </c>
      <c r="D18" s="151" t="s">
        <v>45</v>
      </c>
      <c r="E18" s="151" t="s">
        <v>46</v>
      </c>
      <c r="F18" s="142" t="s">
        <v>61</v>
      </c>
    </row>
    <row r="19" spans="2:6" x14ac:dyDescent="0.25">
      <c r="B19" s="189" t="s">
        <v>1174</v>
      </c>
      <c r="C19" s="7" t="s">
        <v>1173</v>
      </c>
      <c r="D19" s="7">
        <v>1.41</v>
      </c>
      <c r="E19" s="7" t="s">
        <v>40</v>
      </c>
      <c r="F19" s="140" t="s">
        <v>158</v>
      </c>
    </row>
    <row r="20" spans="2:6" x14ac:dyDescent="0.25">
      <c r="B20" s="287" t="s">
        <v>1172</v>
      </c>
      <c r="C20" s="290" t="s">
        <v>1171</v>
      </c>
      <c r="D20" s="290">
        <v>0.16700000000000001</v>
      </c>
      <c r="E20" s="290" t="s">
        <v>40</v>
      </c>
      <c r="F20" s="291" t="s">
        <v>158</v>
      </c>
    </row>
    <row r="21" spans="2:6" x14ac:dyDescent="0.25">
      <c r="B21" s="287" t="s">
        <v>1170</v>
      </c>
      <c r="C21" s="106" t="s">
        <v>1169</v>
      </c>
      <c r="D21" s="290">
        <v>0.27500000000000002</v>
      </c>
      <c r="E21" s="290" t="s">
        <v>40</v>
      </c>
      <c r="F21" s="291" t="s">
        <v>158</v>
      </c>
    </row>
    <row r="22" spans="2:6" x14ac:dyDescent="0.25">
      <c r="B22" s="287" t="s">
        <v>1168</v>
      </c>
      <c r="C22" s="5" t="s">
        <v>1167</v>
      </c>
      <c r="D22" s="290">
        <v>14</v>
      </c>
      <c r="E22" s="6" t="s">
        <v>59</v>
      </c>
      <c r="F22" s="291" t="s">
        <v>158</v>
      </c>
    </row>
    <row r="23" spans="2:6" x14ac:dyDescent="0.25">
      <c r="B23" s="287" t="s">
        <v>1166</v>
      </c>
      <c r="C23" s="5" t="s">
        <v>722</v>
      </c>
      <c r="D23" s="290">
        <f>D22*D20</f>
        <v>2.3380000000000001</v>
      </c>
      <c r="E23" s="290" t="s">
        <v>40</v>
      </c>
      <c r="F23" s="291" t="s">
        <v>158</v>
      </c>
    </row>
    <row r="24" spans="2:6" x14ac:dyDescent="0.25">
      <c r="B24" s="287" t="s">
        <v>1165</v>
      </c>
      <c r="C24" s="106" t="s">
        <v>1164</v>
      </c>
      <c r="D24" s="290">
        <f>3*D21</f>
        <v>0.82500000000000007</v>
      </c>
      <c r="E24" s="290" t="s">
        <v>40</v>
      </c>
      <c r="F24" s="291" t="s">
        <v>158</v>
      </c>
    </row>
    <row r="26" spans="2:6" x14ac:dyDescent="0.25">
      <c r="B26" s="311" t="s">
        <v>50</v>
      </c>
      <c r="C26" s="311" t="s">
        <v>62</v>
      </c>
      <c r="D26" s="311" t="s">
        <v>45</v>
      </c>
      <c r="E26" s="311" t="s">
        <v>46</v>
      </c>
      <c r="F26" s="312" t="s">
        <v>60</v>
      </c>
    </row>
    <row r="27" spans="2:6" x14ac:dyDescent="0.25">
      <c r="B27" s="106" t="s">
        <v>1160</v>
      </c>
      <c r="C27" s="70" t="s">
        <v>1163</v>
      </c>
      <c r="D27" s="106">
        <v>15.371</v>
      </c>
      <c r="E27" s="70" t="s">
        <v>626</v>
      </c>
      <c r="F27" s="308" t="s">
        <v>1162</v>
      </c>
    </row>
    <row r="30" spans="2:6" x14ac:dyDescent="0.25">
      <c r="B30" s="300" t="s">
        <v>1124</v>
      </c>
      <c r="C30" s="301" t="s">
        <v>62</v>
      </c>
      <c r="D30" s="301" t="s">
        <v>45</v>
      </c>
      <c r="E30" s="301" t="s">
        <v>197</v>
      </c>
      <c r="F30" s="347"/>
    </row>
    <row r="31" spans="2:6" x14ac:dyDescent="0.25">
      <c r="B31" s="299" t="s">
        <v>698</v>
      </c>
      <c r="C31" s="302" t="s">
        <v>1123</v>
      </c>
      <c r="D31" s="302">
        <v>8755</v>
      </c>
      <c r="E31" s="302" t="s">
        <v>688</v>
      </c>
      <c r="F31" s="344"/>
    </row>
    <row r="32" spans="2:6" x14ac:dyDescent="0.25">
      <c r="B32" s="303" t="s">
        <v>1161</v>
      </c>
      <c r="C32" s="304" t="s">
        <v>1160</v>
      </c>
      <c r="D32" s="304">
        <f>D31*D27/1000000</f>
        <v>0.134573105</v>
      </c>
      <c r="E32" s="304" t="s">
        <v>1193</v>
      </c>
      <c r="F32" s="344"/>
    </row>
    <row r="34" spans="1:6" x14ac:dyDescent="0.25">
      <c r="B34" s="305" t="s">
        <v>933</v>
      </c>
      <c r="C34" s="294" t="s">
        <v>62</v>
      </c>
      <c r="D34" s="294" t="s">
        <v>45</v>
      </c>
      <c r="E34" s="294" t="s">
        <v>197</v>
      </c>
      <c r="F34" s="347"/>
    </row>
    <row r="35" spans="1:6" x14ac:dyDescent="0.25">
      <c r="B35" s="330" t="s">
        <v>698</v>
      </c>
      <c r="C35" s="306" t="s">
        <v>1123</v>
      </c>
      <c r="D35" s="306">
        <f>11300*(1.03)</f>
        <v>11639</v>
      </c>
      <c r="E35" s="306" t="s">
        <v>688</v>
      </c>
      <c r="F35" s="346"/>
    </row>
    <row r="36" spans="1:6" x14ac:dyDescent="0.25">
      <c r="A36" s="345"/>
      <c r="B36" s="329" t="s">
        <v>1161</v>
      </c>
      <c r="C36" s="328" t="s">
        <v>1160</v>
      </c>
      <c r="D36" s="327">
        <f>D35*D27/1000000</f>
        <v>0.17890306900000003</v>
      </c>
      <c r="E36" s="326" t="s">
        <v>1193</v>
      </c>
      <c r="F36" s="344"/>
    </row>
    <row r="37" spans="1:6" x14ac:dyDescent="0.25">
      <c r="B37" s="325"/>
      <c r="C37" s="325"/>
    </row>
    <row r="38" spans="1:6" x14ac:dyDescent="0.25">
      <c r="B38" s="307" t="s">
        <v>932</v>
      </c>
      <c r="C38" s="295" t="s">
        <v>62</v>
      </c>
      <c r="D38" s="295" t="s">
        <v>45</v>
      </c>
      <c r="E38" s="295" t="s">
        <v>197</v>
      </c>
    </row>
    <row r="39" spans="1:6" x14ac:dyDescent="0.25">
      <c r="A39" s="343"/>
      <c r="B39" s="323" t="s">
        <v>698</v>
      </c>
      <c r="C39" s="324" t="s">
        <v>697</v>
      </c>
      <c r="D39" s="323">
        <v>8755</v>
      </c>
      <c r="E39" s="322" t="s">
        <v>688</v>
      </c>
      <c r="F39" s="342"/>
    </row>
    <row r="40" spans="1:6" x14ac:dyDescent="0.25">
      <c r="A40" s="343"/>
      <c r="B40" s="321" t="s">
        <v>1161</v>
      </c>
      <c r="C40" s="320" t="s">
        <v>1160</v>
      </c>
      <c r="D40" s="319">
        <f>D39*D27/1000000</f>
        <v>0.134573105</v>
      </c>
      <c r="E40" s="320" t="s">
        <v>1193</v>
      </c>
      <c r="F40" s="342"/>
    </row>
    <row r="41" spans="1:6" x14ac:dyDescent="0.25">
      <c r="B41" s="341"/>
      <c r="C41" s="341"/>
      <c r="D41" s="341"/>
      <c r="E41" s="341"/>
    </row>
    <row r="43" spans="1:6" x14ac:dyDescent="0.25">
      <c r="A43" s="21" t="s">
        <v>606</v>
      </c>
    </row>
    <row r="44" spans="1:6" x14ac:dyDescent="0.25">
      <c r="A44" s="182" t="s">
        <v>1159</v>
      </c>
    </row>
  </sheetData>
  <mergeCells count="1">
    <mergeCell ref="B1:F12"/>
  </mergeCells>
  <pageMargins left="0.7" right="0.7" top="0.75" bottom="0.75" header="0.3" footer="0.3"/>
  <pageSetup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topLeftCell="A37" zoomScale="60" zoomScaleNormal="60" workbookViewId="0">
      <selection activeCell="A52" sqref="A52"/>
    </sheetView>
  </sheetViews>
  <sheetFormatPr baseColWidth="10" defaultRowHeight="15" x14ac:dyDescent="0.25"/>
  <cols>
    <col min="1" max="1" width="65.5703125" bestFit="1" customWidth="1"/>
    <col min="2" max="2" width="28.42578125" customWidth="1"/>
    <col min="3" max="3" width="17.140625" bestFit="1" customWidth="1"/>
    <col min="4" max="4" width="24.140625" bestFit="1" customWidth="1"/>
    <col min="5" max="5" width="54.5703125" customWidth="1"/>
    <col min="6" max="6" width="104.42578125" customWidth="1"/>
    <col min="7" max="7" width="14.7109375" customWidth="1"/>
    <col min="8" max="8" width="16.28515625" customWidth="1"/>
    <col min="9" max="9" width="75.28515625" bestFit="1" customWidth="1"/>
    <col min="10" max="10" width="29.7109375" customWidth="1"/>
    <col min="11" max="11" width="17.85546875" customWidth="1"/>
    <col min="14" max="14" width="11.42578125" customWidth="1"/>
  </cols>
  <sheetData>
    <row r="1" spans="1:12" x14ac:dyDescent="0.25">
      <c r="A1" s="357"/>
      <c r="B1" s="357"/>
      <c r="C1" s="357"/>
      <c r="D1" s="357"/>
      <c r="E1" s="357"/>
    </row>
    <row r="2" spans="1:12" x14ac:dyDescent="0.25">
      <c r="A2" s="357"/>
      <c r="B2" s="357"/>
      <c r="C2" s="357"/>
      <c r="D2" s="357"/>
      <c r="E2" s="357"/>
      <c r="F2" s="3"/>
      <c r="G2" s="3"/>
    </row>
    <row r="3" spans="1:12" x14ac:dyDescent="0.25">
      <c r="A3" s="357"/>
      <c r="B3" s="357"/>
      <c r="C3" s="357"/>
      <c r="D3" s="357"/>
      <c r="E3" s="357"/>
      <c r="F3" s="3"/>
      <c r="G3" s="3"/>
    </row>
    <row r="4" spans="1:12" x14ac:dyDescent="0.25">
      <c r="A4" s="357"/>
      <c r="B4" s="357"/>
      <c r="C4" s="357"/>
      <c r="D4" s="357"/>
      <c r="E4" s="357"/>
      <c r="F4" s="3"/>
      <c r="G4" s="3"/>
    </row>
    <row r="5" spans="1:12" x14ac:dyDescent="0.25">
      <c r="A5" s="357"/>
      <c r="B5" s="357"/>
      <c r="C5" s="357"/>
      <c r="D5" s="357"/>
      <c r="E5" s="357"/>
      <c r="F5" s="3"/>
      <c r="G5" s="3"/>
    </row>
    <row r="6" spans="1:12" x14ac:dyDescent="0.25">
      <c r="A6" s="357"/>
      <c r="B6" s="357"/>
      <c r="C6" s="357"/>
      <c r="D6" s="357"/>
      <c r="E6" s="357"/>
      <c r="F6" s="3"/>
      <c r="G6" s="3"/>
    </row>
    <row r="7" spans="1:12" x14ac:dyDescent="0.25">
      <c r="A7" s="357"/>
      <c r="B7" s="357"/>
      <c r="C7" s="357"/>
      <c r="D7" s="357"/>
      <c r="E7" s="357"/>
      <c r="F7" s="3"/>
      <c r="G7" s="3"/>
    </row>
    <row r="8" spans="1:12" x14ac:dyDescent="0.25">
      <c r="A8" s="357"/>
      <c r="B8" s="357"/>
      <c r="C8" s="357"/>
      <c r="D8" s="357"/>
      <c r="E8" s="357"/>
      <c r="F8" s="3"/>
      <c r="G8" s="3"/>
      <c r="I8" s="21" t="s">
        <v>750</v>
      </c>
    </row>
    <row r="9" spans="1:12" x14ac:dyDescent="0.25">
      <c r="A9" s="357"/>
      <c r="B9" s="357"/>
      <c r="C9" s="357"/>
      <c r="D9" s="357"/>
      <c r="E9" s="357"/>
      <c r="F9" s="3"/>
      <c r="G9" s="3"/>
    </row>
    <row r="10" spans="1:12" x14ac:dyDescent="0.25">
      <c r="A10" s="357"/>
      <c r="B10" s="357"/>
      <c r="C10" s="357"/>
      <c r="D10" s="357"/>
      <c r="E10" s="357"/>
      <c r="F10" s="3"/>
      <c r="G10" s="3"/>
    </row>
    <row r="11" spans="1:12" x14ac:dyDescent="0.25">
      <c r="A11" s="357"/>
      <c r="B11" s="357"/>
      <c r="C11" s="357"/>
      <c r="D11" s="357"/>
      <c r="E11" s="357"/>
      <c r="F11" s="3"/>
      <c r="G11" s="3"/>
      <c r="I11" s="200" t="s">
        <v>201</v>
      </c>
      <c r="J11" s="219" t="s">
        <v>45</v>
      </c>
    </row>
    <row r="12" spans="1:12" x14ac:dyDescent="0.25">
      <c r="A12" s="357"/>
      <c r="B12" s="357"/>
      <c r="C12" s="357"/>
      <c r="D12" s="357"/>
      <c r="E12" s="357"/>
      <c r="F12" s="3"/>
      <c r="G12" s="3"/>
      <c r="I12" s="200" t="s">
        <v>1194</v>
      </c>
      <c r="J12" s="349">
        <v>2.9000000000000001E-2</v>
      </c>
    </row>
    <row r="13" spans="1:12" x14ac:dyDescent="0.25">
      <c r="A13" s="357"/>
      <c r="B13" s="357"/>
      <c r="C13" s="357"/>
      <c r="D13" s="357"/>
      <c r="E13" s="357"/>
      <c r="F13" s="3"/>
      <c r="G13" s="3"/>
      <c r="I13" s="200" t="s">
        <v>741</v>
      </c>
      <c r="J13" s="200">
        <v>1.2999999999999999E-2</v>
      </c>
    </row>
    <row r="14" spans="1:12" x14ac:dyDescent="0.25">
      <c r="A14" s="364"/>
      <c r="B14" s="364"/>
      <c r="C14" s="364"/>
      <c r="D14" s="364"/>
      <c r="E14" s="364"/>
      <c r="F14" s="180"/>
      <c r="G14" s="180"/>
      <c r="I14" s="185" t="s">
        <v>738</v>
      </c>
      <c r="J14" s="201">
        <v>0.5</v>
      </c>
      <c r="K14" s="34"/>
      <c r="L14" s="286"/>
    </row>
    <row r="15" spans="1:12" x14ac:dyDescent="0.25">
      <c r="I15" s="200" t="s">
        <v>736</v>
      </c>
      <c r="J15" s="185">
        <f>J13*K24</f>
        <v>113.815</v>
      </c>
    </row>
    <row r="16" spans="1:12" x14ac:dyDescent="0.25">
      <c r="A16" s="195" t="s">
        <v>11</v>
      </c>
      <c r="B16" s="151" t="s">
        <v>1</v>
      </c>
      <c r="C16" s="151" t="s">
        <v>45</v>
      </c>
      <c r="D16" s="151" t="s">
        <v>46</v>
      </c>
      <c r="E16" s="142" t="s">
        <v>61</v>
      </c>
      <c r="F16" s="27"/>
      <c r="G16" s="3"/>
      <c r="H16" s="3"/>
      <c r="I16" s="200" t="s">
        <v>735</v>
      </c>
      <c r="J16" s="185">
        <f>K34*J13</f>
        <v>151.30699999999999</v>
      </c>
    </row>
    <row r="17" spans="1:14" ht="32.25" customHeight="1" x14ac:dyDescent="0.25">
      <c r="A17" s="218" t="s">
        <v>685</v>
      </c>
      <c r="B17" s="217"/>
      <c r="C17" s="290">
        <v>1.1574999999999999E-6</v>
      </c>
      <c r="D17" s="290" t="s">
        <v>684</v>
      </c>
      <c r="E17" s="216" t="s">
        <v>683</v>
      </c>
      <c r="F17" s="46"/>
      <c r="I17" s="200" t="s">
        <v>734</v>
      </c>
      <c r="J17" s="185">
        <f>J13*K44</f>
        <v>113.815</v>
      </c>
    </row>
    <row r="18" spans="1:14" x14ac:dyDescent="0.25">
      <c r="A18" s="287" t="s">
        <v>682</v>
      </c>
      <c r="B18" s="5" t="s">
        <v>681</v>
      </c>
      <c r="C18" s="290">
        <v>1.2999999999999999E-2</v>
      </c>
      <c r="D18" s="290" t="s">
        <v>678</v>
      </c>
      <c r="E18" s="291" t="s">
        <v>159</v>
      </c>
      <c r="F18" s="289"/>
      <c r="L18" s="286"/>
    </row>
    <row r="19" spans="1:14" x14ac:dyDescent="0.25">
      <c r="A19" s="288" t="s">
        <v>680</v>
      </c>
      <c r="B19" s="123" t="s">
        <v>679</v>
      </c>
      <c r="C19" s="293">
        <v>500</v>
      </c>
      <c r="D19" s="293" t="s">
        <v>678</v>
      </c>
      <c r="E19" s="48" t="s">
        <v>677</v>
      </c>
      <c r="F19" s="289"/>
      <c r="I19" s="215" t="s">
        <v>936</v>
      </c>
      <c r="K19" s="30"/>
    </row>
    <row r="20" spans="1:14" x14ac:dyDescent="0.25">
      <c r="A20" s="286"/>
      <c r="B20" s="286"/>
      <c r="C20" s="286"/>
      <c r="D20" s="286"/>
      <c r="E20" s="286"/>
      <c r="G20" s="286"/>
      <c r="H20" s="286"/>
      <c r="K20" s="30"/>
    </row>
    <row r="21" spans="1:14" x14ac:dyDescent="0.25">
      <c r="A21" s="195" t="s">
        <v>12</v>
      </c>
      <c r="B21" s="151" t="s">
        <v>62</v>
      </c>
      <c r="C21" s="151" t="s">
        <v>45</v>
      </c>
      <c r="D21" s="151" t="s">
        <v>46</v>
      </c>
      <c r="E21" s="142" t="s">
        <v>61</v>
      </c>
      <c r="I21" s="190"/>
    </row>
    <row r="22" spans="1:14" x14ac:dyDescent="0.25">
      <c r="A22" s="189" t="s">
        <v>13</v>
      </c>
      <c r="B22" s="7" t="s">
        <v>38</v>
      </c>
      <c r="C22" s="7">
        <v>0.3</v>
      </c>
      <c r="D22" s="7" t="s">
        <v>40</v>
      </c>
      <c r="E22" s="140" t="s">
        <v>669</v>
      </c>
      <c r="I22" s="190" t="s">
        <v>700</v>
      </c>
      <c r="J22" s="185" t="s">
        <v>62</v>
      </c>
      <c r="K22" s="185" t="s">
        <v>45</v>
      </c>
      <c r="L22" s="185" t="s">
        <v>197</v>
      </c>
      <c r="M22" s="185" t="s">
        <v>699</v>
      </c>
    </row>
    <row r="23" spans="1:14" x14ac:dyDescent="0.25">
      <c r="A23" s="287" t="s">
        <v>14</v>
      </c>
      <c r="B23" s="290" t="s">
        <v>676</v>
      </c>
      <c r="C23" s="290">
        <v>1.2</v>
      </c>
      <c r="D23" s="290" t="s">
        <v>40</v>
      </c>
      <c r="E23" s="291" t="s">
        <v>644</v>
      </c>
      <c r="I23" s="185" t="s">
        <v>698</v>
      </c>
      <c r="J23" s="185" t="s">
        <v>697</v>
      </c>
      <c r="K23" s="185">
        <v>8500</v>
      </c>
      <c r="L23" s="185" t="s">
        <v>688</v>
      </c>
      <c r="M23" s="185">
        <v>1.2999999999999999E-2</v>
      </c>
    </row>
    <row r="24" spans="1:14" x14ac:dyDescent="0.25">
      <c r="A24" s="287" t="s">
        <v>15</v>
      </c>
      <c r="B24" s="106" t="s">
        <v>36</v>
      </c>
      <c r="C24" s="290">
        <v>3.0000000000000001E-3</v>
      </c>
      <c r="D24" s="290" t="s">
        <v>40</v>
      </c>
      <c r="E24" s="291" t="s">
        <v>644</v>
      </c>
      <c r="I24" s="185" t="s">
        <v>696</v>
      </c>
      <c r="J24" s="185" t="s">
        <v>1195</v>
      </c>
      <c r="K24" s="185">
        <f>K23*(1+0.03)</f>
        <v>8755</v>
      </c>
      <c r="L24" s="185" t="s">
        <v>688</v>
      </c>
      <c r="M24" s="185">
        <v>1.2999999999999999E-2</v>
      </c>
      <c r="N24" s="197" t="s">
        <v>694</v>
      </c>
    </row>
    <row r="25" spans="1:14" x14ac:dyDescent="0.25">
      <c r="A25" s="287" t="s">
        <v>675</v>
      </c>
      <c r="B25" s="5" t="s">
        <v>674</v>
      </c>
      <c r="C25" s="290">
        <v>1.0471999999999999</v>
      </c>
      <c r="D25" s="290" t="s">
        <v>673</v>
      </c>
      <c r="E25" s="291" t="s">
        <v>644</v>
      </c>
      <c r="I25" s="303" t="s">
        <v>1196</v>
      </c>
      <c r="J25" s="185" t="s">
        <v>1198</v>
      </c>
      <c r="K25" s="185">
        <f>K23*(1+0.029)</f>
        <v>8746.5</v>
      </c>
      <c r="L25" s="185"/>
      <c r="M25" s="185"/>
    </row>
    <row r="26" spans="1:14" x14ac:dyDescent="0.25">
      <c r="A26" s="287" t="s">
        <v>672</v>
      </c>
      <c r="B26" s="5"/>
      <c r="C26" s="290">
        <v>7.0000000000000007E-2</v>
      </c>
      <c r="D26" s="290" t="s">
        <v>41</v>
      </c>
      <c r="E26" s="291" t="s">
        <v>644</v>
      </c>
      <c r="I26" s="185" t="s">
        <v>693</v>
      </c>
      <c r="J26" s="185" t="s">
        <v>692</v>
      </c>
      <c r="K26" s="185">
        <f>K25-K23</f>
        <v>246.5</v>
      </c>
      <c r="L26" s="185" t="s">
        <v>688</v>
      </c>
      <c r="M26" s="185">
        <f>J15*J14/K26</f>
        <v>0.23086206896551723</v>
      </c>
      <c r="N26" s="197" t="s">
        <v>691</v>
      </c>
    </row>
    <row r="27" spans="1:14" x14ac:dyDescent="0.25">
      <c r="A27" s="287" t="s">
        <v>671</v>
      </c>
      <c r="B27" s="106" t="s">
        <v>670</v>
      </c>
      <c r="C27" s="290">
        <v>0.06</v>
      </c>
      <c r="D27" s="290" t="s">
        <v>40</v>
      </c>
      <c r="E27" s="291" t="s">
        <v>669</v>
      </c>
      <c r="F27" s="286"/>
      <c r="I27" s="185" t="s">
        <v>690</v>
      </c>
      <c r="J27" s="185" t="s">
        <v>1197</v>
      </c>
      <c r="K27" s="185">
        <f>K24-K26</f>
        <v>8508.5</v>
      </c>
      <c r="L27" s="185" t="s">
        <v>688</v>
      </c>
      <c r="M27" s="185">
        <f>J15*(1-J14)/K27</f>
        <v>6.6883116883116878E-3</v>
      </c>
      <c r="N27" s="197" t="s">
        <v>687</v>
      </c>
    </row>
    <row r="28" spans="1:14" x14ac:dyDescent="0.25">
      <c r="A28" s="287" t="s">
        <v>668</v>
      </c>
      <c r="B28" s="5" t="s">
        <v>667</v>
      </c>
      <c r="C28" s="290">
        <f>SQRT(C26/2)</f>
        <v>0.18708286933869708</v>
      </c>
      <c r="D28" s="290" t="s">
        <v>40</v>
      </c>
      <c r="E28" s="291" t="s">
        <v>664</v>
      </c>
      <c r="F28" s="286"/>
    </row>
    <row r="29" spans="1:14" x14ac:dyDescent="0.25">
      <c r="A29" s="288" t="s">
        <v>666</v>
      </c>
      <c r="B29" s="123" t="s">
        <v>665</v>
      </c>
      <c r="C29" s="293">
        <f>SQRT(C26/2)*2</f>
        <v>0.37416573867739417</v>
      </c>
      <c r="D29" s="293" t="s">
        <v>40</v>
      </c>
      <c r="E29" s="48" t="s">
        <v>664</v>
      </c>
      <c r="F29" s="286"/>
      <c r="I29" s="197" t="s">
        <v>686</v>
      </c>
      <c r="J29" s="85">
        <f>K24*M24-(K27*M27+K26*M26)</f>
        <v>0</v>
      </c>
    </row>
    <row r="31" spans="1:14" x14ac:dyDescent="0.25">
      <c r="A31" s="214" t="s">
        <v>51</v>
      </c>
      <c r="B31" s="207" t="s">
        <v>62</v>
      </c>
      <c r="C31" s="207" t="s">
        <v>45</v>
      </c>
      <c r="D31" s="207" t="s">
        <v>46</v>
      </c>
      <c r="E31" s="209" t="s">
        <v>63</v>
      </c>
      <c r="F31" s="27"/>
      <c r="I31" s="190"/>
      <c r="J31" s="190"/>
      <c r="K31" s="190"/>
      <c r="L31" s="190"/>
      <c r="M31" s="190"/>
    </row>
    <row r="32" spans="1:14" x14ac:dyDescent="0.25">
      <c r="A32" s="61" t="s">
        <v>661</v>
      </c>
      <c r="B32" s="213" t="s">
        <v>663</v>
      </c>
      <c r="C32" s="286">
        <v>1E-4</v>
      </c>
      <c r="D32" s="193" t="s">
        <v>92</v>
      </c>
      <c r="E32" s="191" t="s">
        <v>662</v>
      </c>
      <c r="F32" s="84"/>
      <c r="I32" s="190" t="s">
        <v>933</v>
      </c>
      <c r="J32" s="185" t="s">
        <v>62</v>
      </c>
      <c r="K32" s="185" t="s">
        <v>45</v>
      </c>
      <c r="L32" s="185" t="s">
        <v>197</v>
      </c>
      <c r="M32" s="185" t="s">
        <v>699</v>
      </c>
    </row>
    <row r="33" spans="1:22" x14ac:dyDescent="0.25">
      <c r="A33" s="61" t="s">
        <v>935</v>
      </c>
      <c r="B33" s="213" t="s">
        <v>660</v>
      </c>
      <c r="C33" s="286">
        <f>C32*24*3600</f>
        <v>8.64</v>
      </c>
      <c r="D33" s="193" t="s">
        <v>92</v>
      </c>
      <c r="E33" s="191"/>
      <c r="F33" s="84"/>
      <c r="I33" s="185" t="s">
        <v>698</v>
      </c>
      <c r="J33" s="185" t="s">
        <v>697</v>
      </c>
      <c r="K33" s="185">
        <v>11300</v>
      </c>
      <c r="L33" s="185" t="s">
        <v>688</v>
      </c>
      <c r="M33" s="185">
        <v>1.2999999999999999E-2</v>
      </c>
    </row>
    <row r="34" spans="1:22" x14ac:dyDescent="0.25">
      <c r="A34" s="212" t="s">
        <v>659</v>
      </c>
      <c r="B34" s="211" t="s">
        <v>658</v>
      </c>
      <c r="C34" s="211">
        <v>15</v>
      </c>
      <c r="D34" s="211" t="s">
        <v>44</v>
      </c>
      <c r="E34" s="211" t="s">
        <v>934</v>
      </c>
      <c r="F34" s="34"/>
      <c r="I34" s="185" t="s">
        <v>696</v>
      </c>
      <c r="J34" s="185" t="s">
        <v>695</v>
      </c>
      <c r="K34" s="185">
        <f>K33*(1+0.03)</f>
        <v>11639</v>
      </c>
      <c r="L34" s="185" t="s">
        <v>688</v>
      </c>
      <c r="M34" s="185">
        <v>1.2999999999999999E-2</v>
      </c>
      <c r="N34" s="194" t="s">
        <v>694</v>
      </c>
    </row>
    <row r="35" spans="1:22" x14ac:dyDescent="0.25">
      <c r="A35" s="210"/>
      <c r="B35" s="210"/>
      <c r="C35" s="210"/>
      <c r="D35" s="210"/>
      <c r="E35" s="210"/>
      <c r="F35" s="34"/>
      <c r="I35" s="303" t="s">
        <v>1196</v>
      </c>
      <c r="J35" s="185" t="s">
        <v>1198</v>
      </c>
      <c r="K35" s="185">
        <f>K33*(1+0.029)</f>
        <v>11627.699999999999</v>
      </c>
      <c r="L35" s="185"/>
      <c r="M35" s="185"/>
    </row>
    <row r="36" spans="1:22" x14ac:dyDescent="0.25">
      <c r="A36" s="359"/>
      <c r="B36" s="359"/>
      <c r="C36" s="359"/>
      <c r="D36" s="359"/>
      <c r="E36" s="359"/>
      <c r="I36" s="185" t="s">
        <v>693</v>
      </c>
      <c r="J36" s="185" t="s">
        <v>692</v>
      </c>
      <c r="K36" s="185">
        <f>K35-K33</f>
        <v>327.69999999999891</v>
      </c>
      <c r="L36" s="185" t="s">
        <v>688</v>
      </c>
      <c r="M36" s="185">
        <f>J16*J14/K36</f>
        <v>0.230862068965518</v>
      </c>
      <c r="N36" s="194" t="s">
        <v>691</v>
      </c>
      <c r="O36" s="289"/>
      <c r="P36" s="289"/>
      <c r="Q36" s="8"/>
      <c r="R36" s="289"/>
      <c r="S36" s="8"/>
      <c r="T36" s="289"/>
      <c r="U36" s="289"/>
      <c r="V36" s="289"/>
    </row>
    <row r="37" spans="1:22" x14ac:dyDescent="0.25">
      <c r="A37" s="195" t="s">
        <v>54</v>
      </c>
      <c r="B37" s="151" t="s">
        <v>62</v>
      </c>
      <c r="C37" s="151" t="s">
        <v>45</v>
      </c>
      <c r="D37" s="151" t="s">
        <v>46</v>
      </c>
      <c r="E37" s="151" t="s">
        <v>65</v>
      </c>
      <c r="F37" s="209" t="s">
        <v>61</v>
      </c>
      <c r="I37" s="185" t="s">
        <v>690</v>
      </c>
      <c r="J37" s="185" t="s">
        <v>689</v>
      </c>
      <c r="K37" s="185">
        <f>K34-K36</f>
        <v>11311.300000000001</v>
      </c>
      <c r="L37" s="185" t="s">
        <v>688</v>
      </c>
      <c r="M37" s="185">
        <f>J16*(1-J14)/K37</f>
        <v>6.6883116883116869E-3</v>
      </c>
      <c r="N37" s="194" t="s">
        <v>687</v>
      </c>
    </row>
    <row r="38" spans="1:22" ht="30" customHeight="1" x14ac:dyDescent="0.25">
      <c r="A38" s="188" t="s">
        <v>657</v>
      </c>
      <c r="B38" s="187" t="s">
        <v>656</v>
      </c>
      <c r="C38" s="166">
        <f>(C43*C27)/(60*C17)</f>
        <v>85.506861278574789</v>
      </c>
      <c r="D38" s="187" t="s">
        <v>59</v>
      </c>
      <c r="E38" s="204"/>
      <c r="F38" s="202" t="s">
        <v>613</v>
      </c>
    </row>
    <row r="39" spans="1:22" x14ac:dyDescent="0.25">
      <c r="A39" s="367"/>
      <c r="B39" s="367"/>
      <c r="C39" s="367"/>
      <c r="D39" s="367"/>
      <c r="E39" s="367"/>
      <c r="I39" s="194" t="s">
        <v>701</v>
      </c>
      <c r="J39" s="86">
        <f>K34*M34-M36*K36-M37*K37</f>
        <v>0</v>
      </c>
    </row>
    <row r="40" spans="1:22" x14ac:dyDescent="0.25">
      <c r="A40" s="364"/>
      <c r="B40" s="364"/>
      <c r="C40" s="364"/>
      <c r="D40" s="364"/>
      <c r="E40" s="364"/>
    </row>
    <row r="41" spans="1:22" x14ac:dyDescent="0.25">
      <c r="A41" s="208" t="s">
        <v>50</v>
      </c>
      <c r="B41" s="151" t="s">
        <v>62</v>
      </c>
      <c r="C41" s="151" t="s">
        <v>45</v>
      </c>
      <c r="D41" s="151" t="s">
        <v>46</v>
      </c>
      <c r="E41" s="151" t="s">
        <v>65</v>
      </c>
      <c r="F41" s="207" t="s">
        <v>60</v>
      </c>
      <c r="G41" s="142" t="s">
        <v>61</v>
      </c>
      <c r="I41" s="190"/>
      <c r="J41" s="190"/>
      <c r="K41" s="190"/>
      <c r="L41" s="190"/>
      <c r="M41" s="190"/>
    </row>
    <row r="42" spans="1:22" ht="30.75" customHeight="1" x14ac:dyDescent="0.25">
      <c r="A42" s="159" t="s">
        <v>651</v>
      </c>
      <c r="B42" s="69" t="s">
        <v>655</v>
      </c>
      <c r="C42" s="7">
        <f>C33/(C26*SIN(C25))</f>
        <v>142.52283637912845</v>
      </c>
      <c r="D42" s="69" t="s">
        <v>654</v>
      </c>
      <c r="E42" s="206"/>
      <c r="F42" s="193" t="s">
        <v>653</v>
      </c>
      <c r="G42" s="191" t="s">
        <v>652</v>
      </c>
      <c r="I42" s="190" t="s">
        <v>932</v>
      </c>
      <c r="J42" s="185" t="s">
        <v>62</v>
      </c>
      <c r="K42" s="185" t="s">
        <v>45</v>
      </c>
      <c r="L42" s="185" t="s">
        <v>197</v>
      </c>
      <c r="M42" s="185" t="s">
        <v>699</v>
      </c>
    </row>
    <row r="43" spans="1:22" ht="30.75" customHeight="1" x14ac:dyDescent="0.25">
      <c r="A43" s="159" t="s">
        <v>651</v>
      </c>
      <c r="B43" s="69" t="s">
        <v>650</v>
      </c>
      <c r="C43" s="7">
        <f>C42/(24*60)</f>
        <v>9.8974191929950314E-2</v>
      </c>
      <c r="D43" s="69" t="s">
        <v>649</v>
      </c>
      <c r="E43" s="190"/>
      <c r="F43" s="193" t="s">
        <v>648</v>
      </c>
      <c r="G43" s="191" t="s">
        <v>647</v>
      </c>
      <c r="I43" s="185" t="s">
        <v>698</v>
      </c>
      <c r="J43" s="185" t="s">
        <v>697</v>
      </c>
      <c r="K43" s="185">
        <v>8500</v>
      </c>
      <c r="L43" s="185" t="s">
        <v>688</v>
      </c>
      <c r="M43" s="185">
        <v>1.2999999999999999E-2</v>
      </c>
    </row>
    <row r="44" spans="1:22" ht="30.75" customHeight="1" x14ac:dyDescent="0.25">
      <c r="A44" s="189" t="s">
        <v>646</v>
      </c>
      <c r="B44" s="69"/>
      <c r="C44" s="7">
        <f>(C23/C27)-0.013*C38</f>
        <v>18.888410803378527</v>
      </c>
      <c r="D44" s="69" t="s">
        <v>59</v>
      </c>
      <c r="E44" s="206"/>
      <c r="F44" s="193" t="s">
        <v>645</v>
      </c>
      <c r="G44" s="191" t="s">
        <v>644</v>
      </c>
      <c r="I44" s="185" t="s">
        <v>696</v>
      </c>
      <c r="J44" s="185" t="s">
        <v>695</v>
      </c>
      <c r="K44" s="185">
        <f>K43*(1+0.03)</f>
        <v>8755</v>
      </c>
      <c r="L44" s="185" t="s">
        <v>688</v>
      </c>
      <c r="M44" s="185">
        <v>1.2999999999999999E-2</v>
      </c>
      <c r="N44" s="183" t="s">
        <v>694</v>
      </c>
    </row>
    <row r="45" spans="1:22" ht="30.75" customHeight="1" x14ac:dyDescent="0.25">
      <c r="A45" s="189" t="s">
        <v>643</v>
      </c>
      <c r="B45" s="190"/>
      <c r="C45" s="7">
        <f>C42/(SIN(C25)+C44*COS(C25))</f>
        <v>13.823490072395328</v>
      </c>
      <c r="D45" s="69" t="s">
        <v>97</v>
      </c>
      <c r="E45" s="206"/>
      <c r="F45" s="193" t="s">
        <v>642</v>
      </c>
      <c r="G45" s="191" t="s">
        <v>637</v>
      </c>
      <c r="I45" s="303" t="s">
        <v>1196</v>
      </c>
      <c r="J45" s="185" t="s">
        <v>1198</v>
      </c>
      <c r="K45" s="185">
        <f>K43*(1+0.029)</f>
        <v>8746.5</v>
      </c>
      <c r="L45" s="185"/>
      <c r="M45" s="185"/>
      <c r="N45" s="183" t="s">
        <v>691</v>
      </c>
    </row>
    <row r="46" spans="1:22" ht="30.75" customHeight="1" x14ac:dyDescent="0.25">
      <c r="A46" s="159" t="s">
        <v>641</v>
      </c>
      <c r="B46" s="69" t="s">
        <v>640</v>
      </c>
      <c r="C46" s="7">
        <f>(C26*C27)/(C32*60)</f>
        <v>0.70000000000000007</v>
      </c>
      <c r="D46" s="69" t="s">
        <v>639</v>
      </c>
      <c r="E46" s="206"/>
      <c r="F46" s="193" t="s">
        <v>638</v>
      </c>
      <c r="G46" s="191" t="s">
        <v>637</v>
      </c>
      <c r="I46" s="185" t="s">
        <v>693</v>
      </c>
      <c r="J46" s="185" t="s">
        <v>692</v>
      </c>
      <c r="K46" s="185">
        <f>K45-K43</f>
        <v>246.5</v>
      </c>
      <c r="L46" s="185" t="s">
        <v>688</v>
      </c>
      <c r="M46" s="185">
        <f>J17*J14/K46</f>
        <v>0.23086206896551723</v>
      </c>
      <c r="N46" s="183" t="s">
        <v>687</v>
      </c>
    </row>
    <row r="47" spans="1:22" ht="30.75" customHeight="1" x14ac:dyDescent="0.25">
      <c r="A47" s="159" t="s">
        <v>636</v>
      </c>
      <c r="B47" s="69" t="s">
        <v>106</v>
      </c>
      <c r="C47" s="7">
        <f>(C28*SIN(C25)+C27)/(C27+C24)</f>
        <v>3.5241070876872098</v>
      </c>
      <c r="D47" s="69" t="s">
        <v>59</v>
      </c>
      <c r="E47" s="206"/>
      <c r="F47" s="193" t="s">
        <v>635</v>
      </c>
      <c r="G47" s="191" t="s">
        <v>634</v>
      </c>
      <c r="I47" s="185" t="s">
        <v>690</v>
      </c>
      <c r="J47" s="185" t="s">
        <v>689</v>
      </c>
      <c r="K47" s="185">
        <f>K44-K46</f>
        <v>8508.5</v>
      </c>
      <c r="L47" s="185" t="s">
        <v>688</v>
      </c>
      <c r="M47" s="185">
        <f>J17*(1-J14)/K47</f>
        <v>6.6883116883116878E-3</v>
      </c>
    </row>
    <row r="48" spans="1:22" ht="30.75" customHeight="1" x14ac:dyDescent="0.25">
      <c r="A48" s="159" t="s">
        <v>633</v>
      </c>
      <c r="B48" s="69" t="s">
        <v>632</v>
      </c>
      <c r="C48" s="7" t="s">
        <v>631</v>
      </c>
      <c r="D48" s="69" t="s">
        <v>630</v>
      </c>
      <c r="E48" s="206"/>
      <c r="F48" s="193" t="s">
        <v>629</v>
      </c>
      <c r="G48" s="191" t="s">
        <v>168</v>
      </c>
    </row>
    <row r="49" spans="1:10" ht="45.75" customHeight="1" x14ac:dyDescent="0.25">
      <c r="A49" s="205" t="s">
        <v>628</v>
      </c>
      <c r="B49" s="187" t="s">
        <v>627</v>
      </c>
      <c r="C49" s="166">
        <v>15.371</v>
      </c>
      <c r="D49" s="187" t="s">
        <v>626</v>
      </c>
      <c r="E49" s="204"/>
      <c r="F49" s="203" t="s">
        <v>625</v>
      </c>
      <c r="G49" s="202" t="s">
        <v>168</v>
      </c>
      <c r="I49" s="183" t="s">
        <v>686</v>
      </c>
      <c r="J49" s="87">
        <f>K44*M44-(K47*M47+K46*M46)</f>
        <v>0</v>
      </c>
    </row>
    <row r="50" spans="1:10" ht="15" customHeight="1" x14ac:dyDescent="0.25">
      <c r="A50" s="289"/>
      <c r="B50" s="289"/>
      <c r="C50" s="289"/>
      <c r="D50" s="289"/>
      <c r="E50" s="289"/>
      <c r="F50" s="8"/>
      <c r="G50" s="289"/>
      <c r="H50" s="8"/>
    </row>
    <row r="51" spans="1:10" x14ac:dyDescent="0.25">
      <c r="A51" s="21" t="s">
        <v>606</v>
      </c>
    </row>
    <row r="52" spans="1:10" x14ac:dyDescent="0.25">
      <c r="A52" t="s">
        <v>624</v>
      </c>
    </row>
    <row r="53" spans="1:10" x14ac:dyDescent="0.25">
      <c r="A53" t="s">
        <v>623</v>
      </c>
    </row>
    <row r="54" spans="1:10" x14ac:dyDescent="0.25">
      <c r="A54" t="s">
        <v>622</v>
      </c>
    </row>
    <row r="55" spans="1:10" x14ac:dyDescent="0.25">
      <c r="A55" t="s">
        <v>621</v>
      </c>
    </row>
    <row r="56" spans="1:10" x14ac:dyDescent="0.25">
      <c r="A56" t="s">
        <v>620</v>
      </c>
    </row>
    <row r="57" spans="1:10" x14ac:dyDescent="0.25">
      <c r="A57" t="s">
        <v>619</v>
      </c>
    </row>
    <row r="58" spans="1:10" x14ac:dyDescent="0.25">
      <c r="A58" t="s">
        <v>618</v>
      </c>
    </row>
  </sheetData>
  <mergeCells count="3">
    <mergeCell ref="A1:E14"/>
    <mergeCell ref="A36:E36"/>
    <mergeCell ref="A39:E40"/>
  </mergeCells>
  <pageMargins left="0.7" right="0.7" top="0.75" bottom="0.75" header="0.3" footer="0.3"/>
  <pageSetup paperSize="9" orientation="portrait" r:id="rId1"/>
  <drawing r:id="rId2"/>
  <tableParts count="9">
    <tablePart r:id="rId3"/>
    <tablePart r:id="rId4"/>
    <tablePart r:id="rId5"/>
    <tablePart r:id="rId6"/>
    <tablePart r:id="rId7"/>
    <tablePart r:id="rId8"/>
    <tablePart r:id="rId9"/>
    <tablePart r:id="rId10"/>
    <tablePart r:id="rId1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zoomScale="60" zoomScaleNormal="60" workbookViewId="0">
      <selection activeCell="F39" sqref="F39"/>
    </sheetView>
  </sheetViews>
  <sheetFormatPr baseColWidth="10" defaultRowHeight="15" x14ac:dyDescent="0.25"/>
  <cols>
    <col min="1" max="1" width="35.42578125" customWidth="1"/>
    <col min="2" max="2" width="14.28515625" customWidth="1"/>
    <col min="3" max="4" width="14.7109375" customWidth="1"/>
    <col min="5" max="5" width="60.5703125" customWidth="1"/>
    <col min="6" max="6" width="68.42578125" customWidth="1"/>
    <col min="7" max="7" width="13.85546875" customWidth="1"/>
    <col min="8" max="8" width="17.140625" customWidth="1"/>
    <col min="9" max="9" width="60" bestFit="1" customWidth="1"/>
    <col min="10" max="11" width="18.7109375" bestFit="1" customWidth="1"/>
    <col min="12" max="12" width="16.28515625" bestFit="1" customWidth="1"/>
    <col min="13" max="13" width="47.28515625" bestFit="1" customWidth="1"/>
    <col min="14" max="14" width="11.42578125" customWidth="1"/>
    <col min="15" max="15" width="59.42578125" customWidth="1"/>
    <col min="16" max="17" width="13.85546875" customWidth="1"/>
    <col min="19" max="19" width="41.85546875" customWidth="1"/>
    <col min="20" max="20" width="23.42578125" bestFit="1" customWidth="1"/>
    <col min="24" max="24" width="18.7109375" customWidth="1"/>
  </cols>
  <sheetData>
    <row r="1" spans="1:21" x14ac:dyDescent="0.25">
      <c r="A1" s="357"/>
      <c r="B1" s="357"/>
      <c r="C1" s="357"/>
      <c r="D1" s="357"/>
      <c r="E1" s="357"/>
      <c r="F1" s="3"/>
      <c r="G1" s="3"/>
      <c r="H1" s="3"/>
      <c r="I1" s="3"/>
    </row>
    <row r="2" spans="1:21" x14ac:dyDescent="0.25">
      <c r="A2" s="357"/>
      <c r="B2" s="357"/>
      <c r="C2" s="357"/>
      <c r="D2" s="357"/>
      <c r="E2" s="357"/>
      <c r="F2" s="3"/>
      <c r="G2" s="3"/>
      <c r="H2" s="3"/>
      <c r="I2" s="3"/>
      <c r="M2" s="30"/>
      <c r="N2" s="30"/>
      <c r="O2" s="30"/>
      <c r="P2" s="30"/>
      <c r="Q2" s="30"/>
      <c r="R2" s="30"/>
      <c r="S2" s="30"/>
      <c r="T2" s="30"/>
      <c r="U2" s="30"/>
    </row>
    <row r="3" spans="1:21" x14ac:dyDescent="0.25">
      <c r="A3" s="357"/>
      <c r="B3" s="357"/>
      <c r="C3" s="357"/>
      <c r="D3" s="357"/>
      <c r="E3" s="357"/>
      <c r="F3" s="3"/>
      <c r="G3" s="3"/>
      <c r="H3" s="3"/>
      <c r="I3" s="3"/>
      <c r="M3" s="30"/>
      <c r="N3" s="30"/>
      <c r="U3" s="30"/>
    </row>
    <row r="4" spans="1:21" x14ac:dyDescent="0.25">
      <c r="A4" s="357"/>
      <c r="B4" s="357"/>
      <c r="C4" s="357"/>
      <c r="D4" s="357"/>
      <c r="E4" s="357"/>
      <c r="F4" s="3"/>
      <c r="G4" s="3"/>
      <c r="H4" s="3"/>
      <c r="I4" s="3"/>
      <c r="M4" s="30"/>
      <c r="N4" s="30"/>
      <c r="U4" s="30"/>
    </row>
    <row r="5" spans="1:21" x14ac:dyDescent="0.25">
      <c r="A5" s="357"/>
      <c r="B5" s="357"/>
      <c r="C5" s="357"/>
      <c r="D5" s="357"/>
      <c r="E5" s="357"/>
      <c r="F5" s="3"/>
      <c r="G5" s="3"/>
      <c r="H5" s="3"/>
      <c r="I5" s="21" t="s">
        <v>750</v>
      </c>
      <c r="U5" s="30"/>
    </row>
    <row r="6" spans="1:21" x14ac:dyDescent="0.25">
      <c r="A6" s="357"/>
      <c r="B6" s="357"/>
      <c r="C6" s="357"/>
      <c r="D6" s="357"/>
      <c r="E6" s="357"/>
      <c r="F6" s="3"/>
      <c r="G6" s="3"/>
      <c r="H6" s="3"/>
      <c r="U6" s="30"/>
    </row>
    <row r="7" spans="1:21" x14ac:dyDescent="0.25">
      <c r="A7" s="357"/>
      <c r="B7" s="357"/>
      <c r="C7" s="357"/>
      <c r="D7" s="357"/>
      <c r="E7" s="357"/>
      <c r="F7" s="3"/>
      <c r="G7" s="3"/>
      <c r="H7" s="3"/>
      <c r="U7" s="30"/>
    </row>
    <row r="8" spans="1:21" x14ac:dyDescent="0.25">
      <c r="A8" s="357"/>
      <c r="B8" s="357"/>
      <c r="C8" s="357"/>
      <c r="D8" s="357"/>
      <c r="E8" s="357"/>
      <c r="F8" s="3"/>
      <c r="G8" s="3"/>
      <c r="H8" s="3"/>
      <c r="I8" s="200" t="s">
        <v>201</v>
      </c>
      <c r="J8" s="200" t="s">
        <v>45</v>
      </c>
      <c r="U8" s="30"/>
    </row>
    <row r="9" spans="1:21" x14ac:dyDescent="0.25">
      <c r="A9" s="357"/>
      <c r="B9" s="357"/>
      <c r="C9" s="357"/>
      <c r="D9" s="357"/>
      <c r="E9" s="357"/>
      <c r="F9" s="3"/>
      <c r="G9" s="3"/>
      <c r="H9" s="3"/>
      <c r="I9" s="200" t="s">
        <v>743</v>
      </c>
      <c r="J9" s="349">
        <v>1E-3</v>
      </c>
      <c r="U9" s="30"/>
    </row>
    <row r="10" spans="1:21" x14ac:dyDescent="0.25">
      <c r="A10" s="357"/>
      <c r="B10" s="357"/>
      <c r="C10" s="357"/>
      <c r="D10" s="357"/>
      <c r="E10" s="357"/>
      <c r="F10" s="3"/>
      <c r="G10" s="3"/>
      <c r="H10" s="3"/>
      <c r="I10" s="200" t="s">
        <v>741</v>
      </c>
      <c r="J10" s="200">
        <v>6.6883116883116869E-3</v>
      </c>
      <c r="U10" s="30"/>
    </row>
    <row r="11" spans="1:21" x14ac:dyDescent="0.25">
      <c r="A11" s="357"/>
      <c r="B11" s="357"/>
      <c r="C11" s="357"/>
      <c r="D11" s="357"/>
      <c r="E11" s="357"/>
      <c r="F11" s="30"/>
      <c r="G11" s="30"/>
      <c r="H11" s="30"/>
      <c r="I11" s="185" t="s">
        <v>738</v>
      </c>
      <c r="J11" s="201">
        <v>0.4</v>
      </c>
      <c r="K11" s="34"/>
      <c r="L11" s="286"/>
      <c r="U11" s="30"/>
    </row>
    <row r="12" spans="1:21" x14ac:dyDescent="0.25">
      <c r="A12" s="357"/>
      <c r="B12" s="357"/>
      <c r="C12" s="357"/>
      <c r="D12" s="357"/>
      <c r="E12" s="357"/>
      <c r="F12" s="30"/>
      <c r="G12" s="30"/>
      <c r="H12" s="30"/>
      <c r="I12" s="200" t="s">
        <v>736</v>
      </c>
      <c r="J12" s="185">
        <f>J10*K21</f>
        <v>56.907499999999978</v>
      </c>
      <c r="U12" s="30"/>
    </row>
    <row r="13" spans="1:21" x14ac:dyDescent="0.25">
      <c r="A13" s="286"/>
      <c r="B13" s="286"/>
      <c r="C13" s="180"/>
      <c r="D13" s="180"/>
      <c r="E13" s="180"/>
      <c r="F13" s="30"/>
      <c r="G13" s="30"/>
      <c r="H13" s="30"/>
      <c r="I13" s="200" t="s">
        <v>735</v>
      </c>
      <c r="J13" s="185">
        <f>K30*J10</f>
        <v>75.65349999999998</v>
      </c>
      <c r="U13" s="30"/>
    </row>
    <row r="14" spans="1:21" x14ac:dyDescent="0.25">
      <c r="A14" s="195" t="s">
        <v>12</v>
      </c>
      <c r="B14" s="151" t="s">
        <v>62</v>
      </c>
      <c r="C14" s="151" t="s">
        <v>45</v>
      </c>
      <c r="D14" s="151" t="s">
        <v>46</v>
      </c>
      <c r="E14" s="142" t="s">
        <v>61</v>
      </c>
      <c r="F14" s="22"/>
      <c r="G14" s="22"/>
      <c r="H14" s="22"/>
      <c r="I14" s="200" t="s">
        <v>734</v>
      </c>
      <c r="J14" s="185">
        <f>J10*K39</f>
        <v>56.907499999999978</v>
      </c>
    </row>
    <row r="15" spans="1:21" x14ac:dyDescent="0.25">
      <c r="A15" s="189" t="s">
        <v>763</v>
      </c>
      <c r="B15" s="7" t="s">
        <v>762</v>
      </c>
      <c r="C15" s="7">
        <v>0.15</v>
      </c>
      <c r="D15" s="7" t="s">
        <v>40</v>
      </c>
      <c r="E15" s="140" t="s">
        <v>761</v>
      </c>
      <c r="F15" s="22"/>
      <c r="G15" s="22"/>
      <c r="H15" s="22"/>
      <c r="L15" s="286"/>
    </row>
    <row r="16" spans="1:21" x14ac:dyDescent="0.25">
      <c r="A16" s="189" t="s">
        <v>760</v>
      </c>
      <c r="B16" s="7" t="s">
        <v>759</v>
      </c>
      <c r="C16" s="7">
        <v>0.4</v>
      </c>
      <c r="D16" s="7" t="s">
        <v>40</v>
      </c>
      <c r="E16" s="140" t="s">
        <v>744</v>
      </c>
      <c r="F16" s="22"/>
      <c r="G16" s="22"/>
      <c r="H16" s="22"/>
      <c r="I16" s="163"/>
      <c r="K16" s="30"/>
    </row>
    <row r="17" spans="1:14" x14ac:dyDescent="0.25">
      <c r="A17" s="189" t="s">
        <v>758</v>
      </c>
      <c r="B17" s="199" t="s">
        <v>757</v>
      </c>
      <c r="C17" s="7">
        <v>0.2</v>
      </c>
      <c r="D17" s="7" t="s">
        <v>40</v>
      </c>
      <c r="E17" s="140" t="s">
        <v>158</v>
      </c>
      <c r="F17" s="22"/>
      <c r="G17" s="22"/>
      <c r="H17" s="22"/>
      <c r="K17" s="30"/>
    </row>
    <row r="18" spans="1:14" x14ac:dyDescent="0.25">
      <c r="A18" s="189" t="s">
        <v>756</v>
      </c>
      <c r="B18" s="199" t="s">
        <v>171</v>
      </c>
      <c r="C18" s="7">
        <v>0.1</v>
      </c>
      <c r="D18" s="7" t="s">
        <v>40</v>
      </c>
      <c r="E18" s="140" t="s">
        <v>158</v>
      </c>
      <c r="F18" s="22"/>
      <c r="G18" s="22"/>
      <c r="H18" s="22"/>
      <c r="I18" s="190"/>
    </row>
    <row r="19" spans="1:14" x14ac:dyDescent="0.25">
      <c r="A19" s="189" t="s">
        <v>755</v>
      </c>
      <c r="B19" s="199" t="s">
        <v>754</v>
      </c>
      <c r="C19" s="7">
        <v>0.15</v>
      </c>
      <c r="D19" s="7" t="s">
        <v>40</v>
      </c>
      <c r="E19" s="140" t="s">
        <v>751</v>
      </c>
      <c r="F19" s="22"/>
      <c r="G19" s="22"/>
      <c r="H19" s="22"/>
      <c r="I19" s="190" t="s">
        <v>700</v>
      </c>
      <c r="J19" s="185" t="s">
        <v>62</v>
      </c>
      <c r="K19" s="185" t="s">
        <v>45</v>
      </c>
      <c r="L19" s="185" t="s">
        <v>197</v>
      </c>
      <c r="M19" s="185" t="s">
        <v>699</v>
      </c>
    </row>
    <row r="20" spans="1:14" x14ac:dyDescent="0.25">
      <c r="A20" s="189" t="s">
        <v>753</v>
      </c>
      <c r="B20" s="26" t="s">
        <v>752</v>
      </c>
      <c r="C20" s="7">
        <v>0.15</v>
      </c>
      <c r="D20" s="7" t="s">
        <v>40</v>
      </c>
      <c r="E20" s="140" t="s">
        <v>751</v>
      </c>
      <c r="F20" s="289"/>
      <c r="G20" s="22"/>
      <c r="H20" s="22"/>
      <c r="I20" s="185" t="s">
        <v>698</v>
      </c>
      <c r="J20" s="185" t="s">
        <v>697</v>
      </c>
      <c r="K20" s="185">
        <v>8500</v>
      </c>
      <c r="L20" s="185" t="s">
        <v>688</v>
      </c>
      <c r="M20" s="200">
        <v>6.6883116883116869E-3</v>
      </c>
    </row>
    <row r="21" spans="1:14" x14ac:dyDescent="0.25">
      <c r="A21" s="189" t="s">
        <v>749</v>
      </c>
      <c r="B21" s="199" t="s">
        <v>748</v>
      </c>
      <c r="C21" s="7">
        <v>0.1</v>
      </c>
      <c r="D21" s="7" t="s">
        <v>40</v>
      </c>
      <c r="E21" s="140" t="s">
        <v>744</v>
      </c>
      <c r="F21" s="33"/>
      <c r="G21" s="22"/>
      <c r="H21" s="22"/>
      <c r="I21" s="185" t="s">
        <v>696</v>
      </c>
      <c r="J21" s="185" t="s">
        <v>1195</v>
      </c>
      <c r="K21" s="185">
        <f>K20*(1+J9)</f>
        <v>8508.4999999999982</v>
      </c>
      <c r="L21" s="185" t="s">
        <v>688</v>
      </c>
      <c r="M21" s="200">
        <v>6.6883116883116869E-3</v>
      </c>
      <c r="N21" s="197" t="s">
        <v>694</v>
      </c>
    </row>
    <row r="22" spans="1:14" x14ac:dyDescent="0.25">
      <c r="A22" s="188" t="s">
        <v>747</v>
      </c>
      <c r="B22" s="198" t="s">
        <v>746</v>
      </c>
      <c r="C22" s="166">
        <v>100</v>
      </c>
      <c r="D22" s="166" t="s">
        <v>745</v>
      </c>
      <c r="E22" s="186" t="s">
        <v>744</v>
      </c>
      <c r="F22" s="289"/>
      <c r="G22" s="22"/>
      <c r="H22" s="22"/>
      <c r="I22" s="185" t="s">
        <v>693</v>
      </c>
      <c r="J22" s="185" t="s">
        <v>692</v>
      </c>
      <c r="K22" s="185">
        <f>K21-K20</f>
        <v>8.499999999998181</v>
      </c>
      <c r="L22" s="185" t="s">
        <v>688</v>
      </c>
      <c r="M22" s="184">
        <f>J12*J11/K22</f>
        <v>2.6780000000005719</v>
      </c>
      <c r="N22" s="197" t="s">
        <v>691</v>
      </c>
    </row>
    <row r="23" spans="1:14" x14ac:dyDescent="0.25">
      <c r="F23" s="22"/>
      <c r="G23" s="22"/>
      <c r="H23" s="22"/>
      <c r="I23" s="185" t="s">
        <v>690</v>
      </c>
      <c r="J23" s="185" t="s">
        <v>689</v>
      </c>
      <c r="K23" s="185">
        <f>K21-K22</f>
        <v>8500</v>
      </c>
      <c r="L23" s="185" t="s">
        <v>688</v>
      </c>
      <c r="M23" s="184">
        <f>J12*(1-J11)/K23</f>
        <v>4.016999999999998E-3</v>
      </c>
      <c r="N23" s="197" t="s">
        <v>687</v>
      </c>
    </row>
    <row r="24" spans="1:14" x14ac:dyDescent="0.25">
      <c r="A24" s="195" t="s">
        <v>51</v>
      </c>
      <c r="B24" s="151" t="s">
        <v>62</v>
      </c>
      <c r="C24" s="151" t="s">
        <v>45</v>
      </c>
      <c r="D24" s="151" t="s">
        <v>46</v>
      </c>
      <c r="E24" s="142" t="s">
        <v>63</v>
      </c>
      <c r="F24" s="22"/>
      <c r="G24" s="22"/>
      <c r="H24" s="22"/>
    </row>
    <row r="25" spans="1:14" x14ac:dyDescent="0.25">
      <c r="A25" s="189" t="s">
        <v>742</v>
      </c>
      <c r="B25" s="26" t="s">
        <v>663</v>
      </c>
      <c r="C25" s="7">
        <v>1E-4</v>
      </c>
      <c r="D25" s="7" t="s">
        <v>92</v>
      </c>
      <c r="E25" s="140" t="s">
        <v>662</v>
      </c>
      <c r="F25" s="22"/>
      <c r="G25" s="22"/>
      <c r="H25" s="22"/>
      <c r="I25" s="197" t="s">
        <v>686</v>
      </c>
      <c r="J25" s="85">
        <f>K21*M21-(K23*M23+K22*M22)</f>
        <v>0</v>
      </c>
    </row>
    <row r="26" spans="1:14" x14ac:dyDescent="0.25">
      <c r="A26" s="189" t="s">
        <v>740</v>
      </c>
      <c r="B26" s="26" t="s">
        <v>660</v>
      </c>
      <c r="C26" s="7">
        <v>8.64</v>
      </c>
      <c r="D26" s="7" t="s">
        <v>739</v>
      </c>
      <c r="E26" s="140"/>
      <c r="F26" s="22"/>
      <c r="G26" s="22"/>
      <c r="H26" s="22"/>
    </row>
    <row r="27" spans="1:14" x14ac:dyDescent="0.25">
      <c r="A27" s="188" t="s">
        <v>737</v>
      </c>
      <c r="B27" s="166" t="s">
        <v>658</v>
      </c>
      <c r="C27" s="166">
        <v>15</v>
      </c>
      <c r="D27" s="166" t="s">
        <v>44</v>
      </c>
      <c r="E27" s="196" t="s">
        <v>934</v>
      </c>
      <c r="F27" s="22"/>
      <c r="G27" s="22"/>
      <c r="H27" s="22"/>
      <c r="I27" s="190"/>
      <c r="J27" s="190"/>
      <c r="K27" s="190"/>
      <c r="L27" s="190"/>
      <c r="M27" s="190"/>
    </row>
    <row r="28" spans="1:14" x14ac:dyDescent="0.25">
      <c r="I28" s="190" t="s">
        <v>933</v>
      </c>
      <c r="J28" s="185" t="s">
        <v>62</v>
      </c>
      <c r="K28" s="185" t="s">
        <v>45</v>
      </c>
      <c r="L28" s="185" t="s">
        <v>197</v>
      </c>
      <c r="M28" s="185" t="s">
        <v>699</v>
      </c>
    </row>
    <row r="29" spans="1:14" x14ac:dyDescent="0.25">
      <c r="I29" s="185" t="s">
        <v>698</v>
      </c>
      <c r="J29" s="185" t="s">
        <v>697</v>
      </c>
      <c r="K29" s="185">
        <v>11300</v>
      </c>
      <c r="L29" s="185" t="s">
        <v>688</v>
      </c>
      <c r="M29" s="200">
        <v>6.6883116883116869E-3</v>
      </c>
    </row>
    <row r="30" spans="1:14" x14ac:dyDescent="0.25">
      <c r="A30" s="195" t="s">
        <v>50</v>
      </c>
      <c r="B30" s="151" t="s">
        <v>62</v>
      </c>
      <c r="C30" s="151" t="s">
        <v>45</v>
      </c>
      <c r="D30" s="151" t="s">
        <v>46</v>
      </c>
      <c r="E30" s="151" t="s">
        <v>65</v>
      </c>
      <c r="F30" s="151" t="s">
        <v>60</v>
      </c>
      <c r="G30" s="142" t="s">
        <v>61</v>
      </c>
      <c r="I30" s="185" t="s">
        <v>1196</v>
      </c>
      <c r="J30" s="185" t="s">
        <v>1195</v>
      </c>
      <c r="K30" s="185">
        <f>K29*(1+J9)</f>
        <v>11311.3</v>
      </c>
      <c r="L30" s="185" t="s">
        <v>688</v>
      </c>
      <c r="M30" s="200">
        <v>6.6883116883116869E-3</v>
      </c>
      <c r="N30" s="194" t="s">
        <v>694</v>
      </c>
    </row>
    <row r="31" spans="1:14" x14ac:dyDescent="0.25">
      <c r="A31" s="189" t="s">
        <v>733</v>
      </c>
      <c r="B31" s="69" t="s">
        <v>106</v>
      </c>
      <c r="C31" s="7">
        <f>0.044*(C26^0.5)</f>
        <v>0.12933305841895179</v>
      </c>
      <c r="D31" s="69" t="s">
        <v>59</v>
      </c>
      <c r="E31" s="193" t="s">
        <v>732</v>
      </c>
      <c r="F31" s="7" t="s">
        <v>731</v>
      </c>
      <c r="G31" s="140" t="s">
        <v>159</v>
      </c>
      <c r="I31" s="185" t="s">
        <v>693</v>
      </c>
      <c r="J31" s="185" t="s">
        <v>692</v>
      </c>
      <c r="K31" s="185">
        <f>K30-K29</f>
        <v>11.299999999999272</v>
      </c>
      <c r="L31" s="185" t="s">
        <v>688</v>
      </c>
      <c r="M31" s="184">
        <f>J13*J11/K31</f>
        <v>2.6780000000001718</v>
      </c>
      <c r="N31" s="194" t="s">
        <v>691</v>
      </c>
    </row>
    <row r="32" spans="1:14" x14ac:dyDescent="0.25">
      <c r="A32" s="189" t="s">
        <v>730</v>
      </c>
      <c r="B32" s="69" t="s">
        <v>729</v>
      </c>
      <c r="C32" s="7">
        <v>2</v>
      </c>
      <c r="D32" s="69" t="s">
        <v>59</v>
      </c>
      <c r="E32" s="185"/>
      <c r="F32" s="185" t="s">
        <v>728</v>
      </c>
      <c r="G32" s="140" t="s">
        <v>168</v>
      </c>
      <c r="I32" s="185" t="s">
        <v>690</v>
      </c>
      <c r="J32" s="185" t="s">
        <v>689</v>
      </c>
      <c r="K32" s="185">
        <f>K30-K31</f>
        <v>11300</v>
      </c>
      <c r="L32" s="185" t="s">
        <v>688</v>
      </c>
      <c r="M32" s="184">
        <f>J13*(1-J11)/K32</f>
        <v>4.0169999999999989E-3</v>
      </c>
      <c r="N32" s="194" t="s">
        <v>687</v>
      </c>
    </row>
    <row r="33" spans="1:14" x14ac:dyDescent="0.25">
      <c r="A33" s="189" t="s">
        <v>727</v>
      </c>
      <c r="B33" s="69" t="s">
        <v>726</v>
      </c>
      <c r="C33" s="7">
        <f>C26/C32</f>
        <v>4.32</v>
      </c>
      <c r="D33" s="69" t="s">
        <v>725</v>
      </c>
      <c r="E33" s="7" t="s">
        <v>724</v>
      </c>
      <c r="F33" s="7"/>
      <c r="G33" s="140" t="s">
        <v>168</v>
      </c>
    </row>
    <row r="34" spans="1:14" x14ac:dyDescent="0.25">
      <c r="A34" s="189" t="s">
        <v>723</v>
      </c>
      <c r="B34" s="29" t="s">
        <v>722</v>
      </c>
      <c r="C34" s="7">
        <f>C26/C22</f>
        <v>8.6400000000000005E-2</v>
      </c>
      <c r="D34" s="69" t="s">
        <v>41</v>
      </c>
      <c r="E34" s="7" t="s">
        <v>721</v>
      </c>
      <c r="F34" s="7"/>
      <c r="G34" s="140" t="s">
        <v>159</v>
      </c>
      <c r="I34" s="194" t="s">
        <v>701</v>
      </c>
      <c r="J34" s="86">
        <f>K30*M30-M31*K31-M32*K32</f>
        <v>0</v>
      </c>
    </row>
    <row r="35" spans="1:14" x14ac:dyDescent="0.25">
      <c r="A35" s="189" t="s">
        <v>720</v>
      </c>
      <c r="B35" s="69" t="s">
        <v>665</v>
      </c>
      <c r="C35" s="7">
        <f>C34/C32</f>
        <v>4.3200000000000002E-2</v>
      </c>
      <c r="D35" s="69" t="s">
        <v>41</v>
      </c>
      <c r="E35" s="7" t="s">
        <v>719</v>
      </c>
      <c r="F35" s="7"/>
      <c r="G35" s="140" t="s">
        <v>718</v>
      </c>
    </row>
    <row r="36" spans="1:14" ht="19.5" customHeight="1" x14ac:dyDescent="0.25">
      <c r="A36" s="189" t="s">
        <v>717</v>
      </c>
      <c r="B36" s="69" t="s">
        <v>530</v>
      </c>
      <c r="C36" s="7">
        <f>2*SQRT(C35/3.14)</f>
        <v>0.23458867648238685</v>
      </c>
      <c r="D36" s="69" t="s">
        <v>40</v>
      </c>
      <c r="E36" s="7" t="s">
        <v>716</v>
      </c>
      <c r="F36" s="7"/>
      <c r="G36" s="140" t="s">
        <v>715</v>
      </c>
      <c r="I36" s="190"/>
      <c r="J36" s="190"/>
      <c r="K36" s="190"/>
      <c r="L36" s="190"/>
      <c r="M36" s="190"/>
    </row>
    <row r="37" spans="1:14" ht="52.5" customHeight="1" x14ac:dyDescent="0.25">
      <c r="A37" s="189" t="s">
        <v>714</v>
      </c>
      <c r="B37" s="69" t="s">
        <v>713</v>
      </c>
      <c r="C37" s="7">
        <f>(C16+C17+C18)*0.5</f>
        <v>0.35000000000000003</v>
      </c>
      <c r="D37" s="69" t="s">
        <v>40</v>
      </c>
      <c r="E37" s="193" t="s">
        <v>712</v>
      </c>
      <c r="F37" s="192" t="s">
        <v>711</v>
      </c>
      <c r="G37" s="191" t="s">
        <v>168</v>
      </c>
      <c r="I37" s="190" t="s">
        <v>932</v>
      </c>
      <c r="J37" s="185" t="s">
        <v>62</v>
      </c>
      <c r="K37" s="185" t="s">
        <v>45</v>
      </c>
      <c r="L37" s="185" t="s">
        <v>197</v>
      </c>
      <c r="M37" s="185" t="s">
        <v>699</v>
      </c>
    </row>
    <row r="38" spans="1:14" x14ac:dyDescent="0.25">
      <c r="A38" s="189" t="s">
        <v>1205</v>
      </c>
      <c r="B38" s="69" t="s">
        <v>710</v>
      </c>
      <c r="C38" s="7">
        <f>SUM(C15:C21)+C37</f>
        <v>1.6</v>
      </c>
      <c r="D38" s="69" t="s">
        <v>40</v>
      </c>
      <c r="E38" s="7" t="s">
        <v>709</v>
      </c>
      <c r="F38" s="7"/>
      <c r="G38" s="140" t="s">
        <v>613</v>
      </c>
      <c r="I38" s="185" t="s">
        <v>698</v>
      </c>
      <c r="J38" s="185" t="s">
        <v>697</v>
      </c>
      <c r="K38" s="185">
        <v>8500</v>
      </c>
      <c r="L38" s="185" t="s">
        <v>688</v>
      </c>
      <c r="M38" s="200">
        <v>6.6883116883116869E-3</v>
      </c>
    </row>
    <row r="39" spans="1:14" x14ac:dyDescent="0.25">
      <c r="A39" s="188" t="s">
        <v>708</v>
      </c>
      <c r="B39" s="187" t="s">
        <v>707</v>
      </c>
      <c r="C39" s="166">
        <f>C38*C35</f>
        <v>6.9120000000000001E-2</v>
      </c>
      <c r="D39" s="187" t="s">
        <v>138</v>
      </c>
      <c r="E39" s="166" t="s">
        <v>706</v>
      </c>
      <c r="F39" s="166"/>
      <c r="G39" s="186" t="s">
        <v>613</v>
      </c>
      <c r="I39" s="185" t="s">
        <v>1196</v>
      </c>
      <c r="J39" s="185" t="s">
        <v>1195</v>
      </c>
      <c r="K39" s="185">
        <f>K38*(1+J9)</f>
        <v>8508.4999999999982</v>
      </c>
      <c r="L39" s="185" t="s">
        <v>688</v>
      </c>
      <c r="M39" s="200">
        <v>6.6883116883116869E-3</v>
      </c>
      <c r="N39" s="183" t="s">
        <v>694</v>
      </c>
    </row>
    <row r="40" spans="1:14" x14ac:dyDescent="0.25">
      <c r="I40" s="185" t="s">
        <v>693</v>
      </c>
      <c r="J40" s="185" t="s">
        <v>692</v>
      </c>
      <c r="K40" s="185">
        <f>K39-K38</f>
        <v>8.499999999998181</v>
      </c>
      <c r="L40" s="185" t="s">
        <v>688</v>
      </c>
      <c r="M40" s="184">
        <f>J14*J11/K40</f>
        <v>2.6780000000005719</v>
      </c>
      <c r="N40" s="183" t="s">
        <v>691</v>
      </c>
    </row>
    <row r="41" spans="1:14" ht="35.25" customHeight="1" x14ac:dyDescent="0.25">
      <c r="I41" s="185" t="s">
        <v>690</v>
      </c>
      <c r="J41" s="185" t="s">
        <v>689</v>
      </c>
      <c r="K41" s="185">
        <f>K39-K40</f>
        <v>8500</v>
      </c>
      <c r="L41" s="185" t="s">
        <v>688</v>
      </c>
      <c r="M41" s="184">
        <f>J14*(1-J11)/K41</f>
        <v>4.016999999999998E-3</v>
      </c>
      <c r="N41" s="183" t="s">
        <v>687</v>
      </c>
    </row>
    <row r="42" spans="1:14" ht="29.25" customHeight="1" x14ac:dyDescent="0.25"/>
    <row r="43" spans="1:14" x14ac:dyDescent="0.25">
      <c r="I43" s="183" t="s">
        <v>686</v>
      </c>
      <c r="J43" s="87">
        <f>K39*M39-(K41*M41+K40*M40)</f>
        <v>0</v>
      </c>
    </row>
    <row r="47" spans="1:14" x14ac:dyDescent="0.25">
      <c r="A47" s="21" t="s">
        <v>606</v>
      </c>
    </row>
    <row r="48" spans="1:14" x14ac:dyDescent="0.25">
      <c r="A48" s="182" t="s">
        <v>705</v>
      </c>
      <c r="B48" s="182"/>
      <c r="C48" s="182"/>
      <c r="D48" s="182"/>
      <c r="E48" s="182"/>
      <c r="F48" s="182"/>
      <c r="G48" s="182"/>
      <c r="H48" s="182"/>
    </row>
    <row r="49" spans="1:13" x14ac:dyDescent="0.25">
      <c r="A49" s="368" t="s">
        <v>704</v>
      </c>
      <c r="B49" s="368"/>
      <c r="C49" s="368"/>
      <c r="D49" s="368"/>
      <c r="E49" s="368"/>
      <c r="F49" s="368"/>
      <c r="G49" s="368"/>
      <c r="H49" s="368"/>
      <c r="I49" s="368"/>
      <c r="J49" s="368"/>
      <c r="K49" s="368"/>
      <c r="L49" s="368"/>
      <c r="M49" s="368"/>
    </row>
    <row r="50" spans="1:13" x14ac:dyDescent="0.25">
      <c r="A50" s="369" t="s">
        <v>703</v>
      </c>
      <c r="B50" s="369"/>
      <c r="C50" s="369"/>
      <c r="D50" s="369"/>
      <c r="E50" s="369"/>
      <c r="F50" s="369"/>
      <c r="G50" s="369"/>
      <c r="H50" s="369"/>
      <c r="I50" s="369"/>
      <c r="J50" s="369"/>
      <c r="K50" s="369"/>
      <c r="L50" s="369"/>
      <c r="M50" s="369"/>
    </row>
    <row r="51" spans="1:13" x14ac:dyDescent="0.25">
      <c r="A51" t="s">
        <v>702</v>
      </c>
    </row>
  </sheetData>
  <mergeCells count="3">
    <mergeCell ref="A1:E12"/>
    <mergeCell ref="A49:M49"/>
    <mergeCell ref="A50:M50"/>
  </mergeCells>
  <pageMargins left="0.7" right="0.7" top="0.75" bottom="0.75" header="0.3" footer="0.3"/>
  <drawing r:id="rId1"/>
  <tableParts count="7">
    <tablePart r:id="rId2"/>
    <tablePart r:id="rId3"/>
    <tablePart r:id="rId4"/>
    <tablePart r:id="rId5"/>
    <tablePart r:id="rId6"/>
    <tablePart r:id="rId7"/>
    <tablePart r:id="rId8"/>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3"/>
  <sheetViews>
    <sheetView topLeftCell="A109" zoomScale="80" zoomScaleNormal="80" workbookViewId="0">
      <selection activeCell="TUH181" sqref="FR181:TUH181"/>
    </sheetView>
  </sheetViews>
  <sheetFormatPr baseColWidth="10" defaultRowHeight="15" x14ac:dyDescent="0.25"/>
  <cols>
    <col min="1" max="1" width="72.42578125" bestFit="1" customWidth="1"/>
    <col min="2" max="2" width="40" bestFit="1" customWidth="1"/>
    <col min="3" max="3" width="32.28515625" bestFit="1" customWidth="1"/>
    <col min="4" max="4" width="27.7109375" bestFit="1" customWidth="1"/>
    <col min="5" max="5" width="36.42578125" customWidth="1"/>
    <col min="6" max="6" width="13.140625" customWidth="1"/>
    <col min="7" max="7" width="21.140625" customWidth="1"/>
    <col min="8" max="8" width="37" bestFit="1" customWidth="1"/>
    <col min="9" max="9" width="36.140625" customWidth="1"/>
    <col min="10" max="10" width="23.85546875" customWidth="1"/>
    <col min="12" max="12" width="37" bestFit="1" customWidth="1"/>
    <col min="13" max="13" width="31.28515625" bestFit="1" customWidth="1"/>
    <col min="14" max="14" width="29.42578125" bestFit="1" customWidth="1"/>
  </cols>
  <sheetData>
    <row r="1" spans="1:12" x14ac:dyDescent="0.25">
      <c r="A1" s="62"/>
      <c r="B1" s="62"/>
      <c r="C1" s="62"/>
      <c r="D1" s="62"/>
      <c r="E1" s="62"/>
      <c r="F1" s="62"/>
      <c r="G1" s="62"/>
      <c r="H1" s="62"/>
      <c r="I1" s="62"/>
      <c r="J1" s="62"/>
    </row>
    <row r="2" spans="1:12" x14ac:dyDescent="0.25">
      <c r="A2" s="62"/>
      <c r="B2" s="62"/>
      <c r="C2" s="62"/>
      <c r="D2" s="62"/>
      <c r="E2" s="62"/>
      <c r="F2" s="62"/>
      <c r="G2" s="62"/>
      <c r="H2" s="62"/>
      <c r="I2" s="62"/>
      <c r="J2" s="62"/>
    </row>
    <row r="3" spans="1:12" x14ac:dyDescent="0.25">
      <c r="A3" s="62"/>
      <c r="B3" s="62"/>
      <c r="C3" s="62"/>
      <c r="D3" s="62"/>
      <c r="E3" s="62"/>
      <c r="F3" s="62"/>
      <c r="G3" s="62"/>
      <c r="H3" s="62"/>
      <c r="I3" s="62"/>
      <c r="J3" s="62"/>
    </row>
    <row r="4" spans="1:12" x14ac:dyDescent="0.25">
      <c r="A4" s="62"/>
      <c r="B4" s="62"/>
      <c r="C4" s="62"/>
      <c r="D4" s="62"/>
      <c r="E4" s="62"/>
      <c r="F4" s="62"/>
      <c r="G4" s="62"/>
      <c r="H4" s="62"/>
      <c r="I4" s="62"/>
      <c r="J4" s="62"/>
    </row>
    <row r="5" spans="1:12" x14ac:dyDescent="0.25">
      <c r="A5" s="62"/>
      <c r="B5" s="62"/>
      <c r="C5" s="62"/>
      <c r="D5" s="62"/>
      <c r="E5" s="62"/>
      <c r="F5" s="62"/>
      <c r="G5" s="62"/>
      <c r="H5" s="62"/>
      <c r="I5" s="62"/>
      <c r="J5" s="62"/>
    </row>
    <row r="6" spans="1:12" x14ac:dyDescent="0.25">
      <c r="A6" s="62"/>
      <c r="B6" s="62"/>
      <c r="C6" s="62"/>
      <c r="D6" s="62"/>
      <c r="E6" s="62"/>
      <c r="F6" s="62"/>
      <c r="G6" s="62"/>
      <c r="H6" s="62"/>
      <c r="I6" s="62"/>
      <c r="J6" s="62"/>
    </row>
    <row r="7" spans="1:12" x14ac:dyDescent="0.25">
      <c r="A7" s="62"/>
      <c r="B7" s="62"/>
      <c r="C7" s="62"/>
      <c r="D7" s="62"/>
      <c r="E7" s="62"/>
      <c r="F7" s="62"/>
      <c r="G7" s="62"/>
      <c r="H7" s="62"/>
      <c r="I7" s="62"/>
      <c r="J7" s="62"/>
    </row>
    <row r="8" spans="1:12" x14ac:dyDescent="0.25">
      <c r="A8" s="62"/>
      <c r="B8" s="62"/>
      <c r="C8" s="62"/>
      <c r="D8" s="62"/>
      <c r="E8" s="62"/>
      <c r="F8" s="62"/>
      <c r="G8" s="62"/>
      <c r="H8" s="62"/>
      <c r="I8" s="62"/>
      <c r="J8" s="62"/>
    </row>
    <row r="9" spans="1:12" x14ac:dyDescent="0.25">
      <c r="A9" s="62"/>
      <c r="B9" s="62"/>
      <c r="C9" s="62"/>
      <c r="D9" s="62"/>
      <c r="E9" s="62"/>
      <c r="F9" s="62"/>
      <c r="G9" s="62"/>
      <c r="H9" s="62"/>
      <c r="I9" s="62"/>
      <c r="J9" s="62"/>
    </row>
    <row r="10" spans="1:12" x14ac:dyDescent="0.25">
      <c r="A10" s="62"/>
      <c r="B10" s="62"/>
      <c r="C10" s="62"/>
      <c r="D10" s="62"/>
      <c r="E10" s="62"/>
      <c r="F10" s="62"/>
      <c r="G10" s="62"/>
      <c r="H10" s="62"/>
      <c r="I10" s="62"/>
      <c r="J10" s="62"/>
    </row>
    <row r="11" spans="1:12" x14ac:dyDescent="0.25">
      <c r="A11" s="62"/>
      <c r="B11" s="62" t="s">
        <v>1206</v>
      </c>
      <c r="C11" s="62"/>
      <c r="D11" s="62"/>
      <c r="E11" s="62"/>
      <c r="F11" s="62"/>
      <c r="G11" s="62"/>
      <c r="H11" s="62"/>
      <c r="I11" s="62"/>
      <c r="J11" s="62"/>
    </row>
    <row r="12" spans="1:12" x14ac:dyDescent="0.25">
      <c r="A12" s="63"/>
      <c r="B12" s="63"/>
      <c r="C12" s="63"/>
      <c r="D12" s="63"/>
      <c r="E12" s="63"/>
      <c r="F12" s="63"/>
      <c r="G12" s="63"/>
      <c r="H12" s="63"/>
      <c r="I12" s="63"/>
      <c r="J12" s="63"/>
      <c r="K12" s="3"/>
      <c r="L12" s="3"/>
    </row>
    <row r="14" spans="1:12" x14ac:dyDescent="0.25">
      <c r="A14" s="3"/>
    </row>
    <row r="15" spans="1:12" x14ac:dyDescent="0.25">
      <c r="A15" s="129" t="s">
        <v>139</v>
      </c>
      <c r="B15" s="122" t="s">
        <v>1</v>
      </c>
      <c r="C15" s="122" t="s">
        <v>45</v>
      </c>
      <c r="D15" s="122" t="s">
        <v>46</v>
      </c>
      <c r="E15" s="115" t="s">
        <v>61</v>
      </c>
    </row>
    <row r="16" spans="1:12" x14ac:dyDescent="0.25">
      <c r="A16" s="127" t="s">
        <v>937</v>
      </c>
      <c r="B16" s="5" t="s">
        <v>943</v>
      </c>
      <c r="C16" s="106">
        <v>1000</v>
      </c>
      <c r="D16" s="106" t="s">
        <v>19</v>
      </c>
      <c r="E16" s="106" t="s">
        <v>158</v>
      </c>
    </row>
    <row r="17" spans="1:5" x14ac:dyDescent="0.25">
      <c r="A17" s="127" t="s">
        <v>941</v>
      </c>
      <c r="B17" s="221" t="s">
        <v>938</v>
      </c>
      <c r="C17" s="106">
        <f>9.72*10^-5</f>
        <v>9.7200000000000018E-5</v>
      </c>
      <c r="D17" s="106" t="s">
        <v>975</v>
      </c>
      <c r="E17" s="106" t="s">
        <v>159</v>
      </c>
    </row>
    <row r="18" spans="1:5" x14ac:dyDescent="0.25">
      <c r="A18" s="127" t="s">
        <v>942</v>
      </c>
      <c r="B18" s="221" t="s">
        <v>939</v>
      </c>
      <c r="C18" s="220">
        <f>7.57*10^-5</f>
        <v>7.570000000000001E-5</v>
      </c>
      <c r="D18" s="106" t="s">
        <v>975</v>
      </c>
      <c r="E18" s="106" t="s">
        <v>159</v>
      </c>
    </row>
    <row r="19" spans="1:5" x14ac:dyDescent="0.25">
      <c r="A19" s="127" t="s">
        <v>944</v>
      </c>
      <c r="B19" s="221" t="s">
        <v>940</v>
      </c>
      <c r="C19" s="220">
        <v>2.8</v>
      </c>
      <c r="D19" s="106" t="s">
        <v>167</v>
      </c>
      <c r="E19" s="106" t="s">
        <v>159</v>
      </c>
    </row>
    <row r="20" spans="1:5" x14ac:dyDescent="0.25">
      <c r="A20" s="127" t="s">
        <v>945</v>
      </c>
      <c r="B20" s="106" t="s">
        <v>948</v>
      </c>
      <c r="C20" s="220">
        <f>3.86*10^34</f>
        <v>3.8599999999999999E+34</v>
      </c>
      <c r="D20" s="106" t="s">
        <v>976</v>
      </c>
      <c r="E20" s="106" t="s">
        <v>159</v>
      </c>
    </row>
    <row r="21" spans="1:5" x14ac:dyDescent="0.25">
      <c r="A21" s="127" t="s">
        <v>946</v>
      </c>
      <c r="B21" s="106" t="s">
        <v>949</v>
      </c>
      <c r="C21" s="220">
        <f>9.46*10^67</f>
        <v>9.4600000000000007E+67</v>
      </c>
      <c r="D21" s="106" t="s">
        <v>976</v>
      </c>
      <c r="E21" s="106" t="s">
        <v>159</v>
      </c>
    </row>
    <row r="22" spans="1:5" x14ac:dyDescent="0.25">
      <c r="A22" s="127" t="s">
        <v>947</v>
      </c>
      <c r="B22" s="106" t="s">
        <v>950</v>
      </c>
      <c r="C22" s="106">
        <v>0.65600000000000003</v>
      </c>
      <c r="D22" s="106" t="s">
        <v>977</v>
      </c>
      <c r="E22" s="106" t="s">
        <v>159</v>
      </c>
    </row>
    <row r="23" spans="1:5" x14ac:dyDescent="0.25">
      <c r="A23" s="127" t="s">
        <v>951</v>
      </c>
      <c r="B23" s="106" t="s">
        <v>965</v>
      </c>
      <c r="C23" s="220">
        <f>3.77*10^10</f>
        <v>37700000000</v>
      </c>
      <c r="D23" s="106" t="s">
        <v>975</v>
      </c>
      <c r="E23" s="106" t="s">
        <v>159</v>
      </c>
    </row>
    <row r="24" spans="1:5" x14ac:dyDescent="0.25">
      <c r="A24" s="127" t="s">
        <v>952</v>
      </c>
      <c r="B24" s="106" t="s">
        <v>966</v>
      </c>
      <c r="C24" s="220">
        <f>6.42*10^9</f>
        <v>6420000000</v>
      </c>
      <c r="D24" s="106" t="s">
        <v>975</v>
      </c>
      <c r="E24" s="106" t="s">
        <v>159</v>
      </c>
    </row>
    <row r="25" spans="1:5" x14ac:dyDescent="0.25">
      <c r="A25" s="127" t="s">
        <v>953</v>
      </c>
      <c r="B25" s="106" t="s">
        <v>982</v>
      </c>
      <c r="C25" s="220">
        <f>1.09*10^41</f>
        <v>1.09E+41</v>
      </c>
      <c r="D25" s="106" t="s">
        <v>975</v>
      </c>
      <c r="E25" s="106" t="s">
        <v>159</v>
      </c>
    </row>
    <row r="26" spans="1:5" x14ac:dyDescent="0.25">
      <c r="A26" s="127" t="s">
        <v>954</v>
      </c>
      <c r="B26" s="106" t="s">
        <v>967</v>
      </c>
      <c r="C26" s="220">
        <f>1.05*10^42</f>
        <v>1.0500000000000001E+42</v>
      </c>
      <c r="D26" s="106" t="s">
        <v>975</v>
      </c>
      <c r="E26" s="106" t="s">
        <v>159</v>
      </c>
    </row>
    <row r="27" spans="1:5" x14ac:dyDescent="0.25">
      <c r="A27" s="127" t="s">
        <v>955</v>
      </c>
      <c r="B27" s="106" t="s">
        <v>968</v>
      </c>
      <c r="C27" s="220">
        <f>1.62*10^40</f>
        <v>1.6200000000000002E+40</v>
      </c>
      <c r="D27" s="106" t="s">
        <v>975</v>
      </c>
      <c r="E27" s="106" t="s">
        <v>159</v>
      </c>
    </row>
    <row r="28" spans="1:5" x14ac:dyDescent="0.25">
      <c r="A28" s="127" t="s">
        <v>956</v>
      </c>
      <c r="B28" s="106" t="s">
        <v>969</v>
      </c>
      <c r="C28" s="220">
        <f>2.377*10^5</f>
        <v>237699.99999999997</v>
      </c>
      <c r="D28" s="106" t="s">
        <v>979</v>
      </c>
      <c r="E28" s="106" t="s">
        <v>159</v>
      </c>
    </row>
    <row r="29" spans="1:5" x14ac:dyDescent="0.25">
      <c r="A29" s="127" t="s">
        <v>957</v>
      </c>
      <c r="B29" s="106" t="s">
        <v>970</v>
      </c>
      <c r="C29" s="220">
        <f>4.439*10^5</f>
        <v>443900</v>
      </c>
      <c r="D29" s="106" t="s">
        <v>979</v>
      </c>
      <c r="E29" s="106" t="s">
        <v>159</v>
      </c>
    </row>
    <row r="30" spans="1:5" x14ac:dyDescent="0.25">
      <c r="A30" s="127" t="s">
        <v>958</v>
      </c>
      <c r="B30" s="106" t="s">
        <v>971</v>
      </c>
      <c r="C30" s="220">
        <f>1.03*10^5</f>
        <v>103000</v>
      </c>
      <c r="D30" s="106" t="s">
        <v>979</v>
      </c>
      <c r="E30" s="106" t="s">
        <v>159</v>
      </c>
    </row>
    <row r="31" spans="1:5" x14ac:dyDescent="0.25">
      <c r="A31" s="127" t="s">
        <v>959</v>
      </c>
      <c r="B31" s="106" t="s">
        <v>972</v>
      </c>
      <c r="C31" s="220">
        <f>2.93*10^5</f>
        <v>293000</v>
      </c>
      <c r="D31" s="106" t="s">
        <v>979</v>
      </c>
      <c r="E31" s="106" t="s">
        <v>159</v>
      </c>
    </row>
    <row r="32" spans="1:5" x14ac:dyDescent="0.25">
      <c r="A32" s="127" t="s">
        <v>960</v>
      </c>
      <c r="B32" s="106" t="s">
        <v>402</v>
      </c>
      <c r="C32" s="106">
        <f>8.314</f>
        <v>8.3140000000000001</v>
      </c>
      <c r="D32" s="106" t="s">
        <v>981</v>
      </c>
      <c r="E32" s="106"/>
    </row>
    <row r="33" spans="1:6" x14ac:dyDescent="0.25">
      <c r="A33" s="127" t="s">
        <v>961</v>
      </c>
      <c r="B33" s="106" t="s">
        <v>973</v>
      </c>
      <c r="C33" s="106">
        <v>315.39999999999998</v>
      </c>
      <c r="D33" s="106" t="s">
        <v>980</v>
      </c>
      <c r="E33" s="106" t="s">
        <v>159</v>
      </c>
    </row>
    <row r="34" spans="1:6" x14ac:dyDescent="0.25">
      <c r="A34" s="127" t="s">
        <v>962</v>
      </c>
      <c r="B34" s="106" t="s">
        <v>974</v>
      </c>
      <c r="C34" s="106">
        <v>336.5</v>
      </c>
      <c r="D34" s="106" t="s">
        <v>980</v>
      </c>
      <c r="E34" s="106" t="s">
        <v>159</v>
      </c>
    </row>
    <row r="35" spans="1:6" x14ac:dyDescent="0.25">
      <c r="A35" s="30"/>
      <c r="B35" s="230"/>
      <c r="C35" s="231"/>
      <c r="D35" s="229"/>
      <c r="E35" s="223"/>
      <c r="F35" s="223"/>
    </row>
    <row r="36" spans="1:6" x14ac:dyDescent="0.25">
      <c r="A36" s="30"/>
      <c r="B36" s="230"/>
      <c r="C36" s="231"/>
      <c r="D36" s="229"/>
      <c r="E36" s="223"/>
      <c r="F36" s="223"/>
    </row>
    <row r="37" spans="1:6" x14ac:dyDescent="0.25">
      <c r="A37" s="113" t="s">
        <v>983</v>
      </c>
      <c r="B37" s="114" t="s">
        <v>176</v>
      </c>
      <c r="C37" s="115" t="s">
        <v>46</v>
      </c>
      <c r="D37" s="125" t="s">
        <v>61</v>
      </c>
    </row>
    <row r="38" spans="1:6" x14ac:dyDescent="0.25">
      <c r="A38" s="225" t="s">
        <v>984</v>
      </c>
      <c r="B38" s="222" t="s">
        <v>988</v>
      </c>
      <c r="C38" s="224" t="s">
        <v>978</v>
      </c>
      <c r="D38" s="106" t="s">
        <v>159</v>
      </c>
    </row>
    <row r="39" spans="1:6" x14ac:dyDescent="0.25">
      <c r="A39" s="225" t="s">
        <v>985</v>
      </c>
      <c r="B39" s="222" t="s">
        <v>989</v>
      </c>
      <c r="C39" s="224" t="s">
        <v>978</v>
      </c>
      <c r="D39" s="106" t="s">
        <v>159</v>
      </c>
    </row>
    <row r="40" spans="1:6" x14ac:dyDescent="0.25">
      <c r="A40" s="225" t="s">
        <v>986</v>
      </c>
      <c r="B40" s="222" t="s">
        <v>129</v>
      </c>
      <c r="C40" s="224" t="s">
        <v>978</v>
      </c>
      <c r="D40" s="106" t="s">
        <v>159</v>
      </c>
    </row>
    <row r="41" spans="1:6" x14ac:dyDescent="0.25">
      <c r="A41" s="47" t="s">
        <v>987</v>
      </c>
      <c r="B41" s="104" t="s">
        <v>990</v>
      </c>
      <c r="C41" s="48" t="s">
        <v>978</v>
      </c>
      <c r="D41" s="106" t="s">
        <v>159</v>
      </c>
    </row>
    <row r="42" spans="1:6" x14ac:dyDescent="0.25">
      <c r="A42" s="225" t="s">
        <v>998</v>
      </c>
      <c r="B42" s="222" t="s">
        <v>991</v>
      </c>
      <c r="C42" s="224" t="s">
        <v>167</v>
      </c>
      <c r="D42" s="106" t="s">
        <v>159</v>
      </c>
    </row>
    <row r="43" spans="1:6" x14ac:dyDescent="0.25">
      <c r="A43" s="225" t="s">
        <v>997</v>
      </c>
      <c r="B43" s="222" t="s">
        <v>992</v>
      </c>
      <c r="C43" s="224" t="s">
        <v>167</v>
      </c>
      <c r="D43" s="106" t="s">
        <v>159</v>
      </c>
    </row>
    <row r="44" spans="1:6" x14ac:dyDescent="0.25">
      <c r="A44" s="225" t="s">
        <v>999</v>
      </c>
      <c r="B44" s="222" t="s">
        <v>993</v>
      </c>
      <c r="C44" s="224" t="s">
        <v>167</v>
      </c>
      <c r="D44" s="106" t="s">
        <v>159</v>
      </c>
    </row>
    <row r="45" spans="1:6" x14ac:dyDescent="0.25">
      <c r="A45" s="47" t="s">
        <v>1000</v>
      </c>
      <c r="B45" s="104" t="s">
        <v>994</v>
      </c>
      <c r="C45" s="355" t="s">
        <v>167</v>
      </c>
      <c r="D45" s="106" t="s">
        <v>159</v>
      </c>
    </row>
    <row r="46" spans="1:6" x14ac:dyDescent="0.25">
      <c r="A46" s="225" t="s">
        <v>189</v>
      </c>
      <c r="B46" s="222" t="s">
        <v>995</v>
      </c>
      <c r="C46" s="355" t="s">
        <v>167</v>
      </c>
      <c r="D46" s="106" t="s">
        <v>159</v>
      </c>
    </row>
    <row r="47" spans="1:6" x14ac:dyDescent="0.25">
      <c r="A47" s="225" t="s">
        <v>1001</v>
      </c>
      <c r="B47" s="222" t="s">
        <v>996</v>
      </c>
      <c r="C47" s="355" t="s">
        <v>167</v>
      </c>
      <c r="D47" s="106" t="s">
        <v>159</v>
      </c>
    </row>
    <row r="48" spans="1:6" x14ac:dyDescent="0.25">
      <c r="A48" s="223"/>
      <c r="B48" s="223"/>
      <c r="C48" s="223"/>
    </row>
    <row r="49" spans="1:3" x14ac:dyDescent="0.25">
      <c r="A49" s="223"/>
      <c r="B49" s="223"/>
      <c r="C49" s="223"/>
    </row>
    <row r="50" spans="1:3" x14ac:dyDescent="0.25">
      <c r="A50" s="226" t="s">
        <v>1013</v>
      </c>
      <c r="C50" s="223"/>
    </row>
    <row r="51" spans="1:3" x14ac:dyDescent="0.25">
      <c r="C51" s="223"/>
    </row>
    <row r="59" spans="1:3" x14ac:dyDescent="0.25">
      <c r="A59" s="223"/>
      <c r="B59" s="223"/>
    </row>
    <row r="60" spans="1:3" x14ac:dyDescent="0.25">
      <c r="A60" s="108" t="s">
        <v>1002</v>
      </c>
      <c r="B60" s="223"/>
    </row>
    <row r="62" spans="1:3" x14ac:dyDescent="0.25">
      <c r="A62" s="226" t="s">
        <v>1003</v>
      </c>
      <c r="B62" s="226" t="s">
        <v>1004</v>
      </c>
    </row>
    <row r="68" spans="1:2" x14ac:dyDescent="0.25">
      <c r="A68" s="226" t="s">
        <v>1005</v>
      </c>
      <c r="B68" s="226" t="s">
        <v>1006</v>
      </c>
    </row>
    <row r="74" spans="1:2" x14ac:dyDescent="0.25">
      <c r="A74" s="226" t="s">
        <v>1007</v>
      </c>
      <c r="B74" s="226" t="s">
        <v>1009</v>
      </c>
    </row>
    <row r="80" spans="1:2" x14ac:dyDescent="0.25">
      <c r="A80" s="226" t="s">
        <v>1008</v>
      </c>
      <c r="B80" s="226" t="s">
        <v>1010</v>
      </c>
    </row>
    <row r="87" spans="1:6" x14ac:dyDescent="0.25">
      <c r="A87" s="226" t="s">
        <v>1011</v>
      </c>
      <c r="B87" s="226" t="s">
        <v>1012</v>
      </c>
    </row>
    <row r="94" spans="1:6" x14ac:dyDescent="0.25">
      <c r="A94" s="129" t="s">
        <v>1014</v>
      </c>
      <c r="B94" s="122" t="s">
        <v>1</v>
      </c>
      <c r="C94" s="122" t="s">
        <v>45</v>
      </c>
      <c r="D94" s="122" t="s">
        <v>46</v>
      </c>
      <c r="E94" s="122" t="s">
        <v>157</v>
      </c>
      <c r="F94" s="115" t="s">
        <v>61</v>
      </c>
    </row>
    <row r="95" spans="1:6" ht="33" customHeight="1" x14ac:dyDescent="0.25">
      <c r="A95" s="127" t="s">
        <v>1015</v>
      </c>
      <c r="B95" s="5" t="s">
        <v>1022</v>
      </c>
      <c r="C95" s="106">
        <v>0</v>
      </c>
      <c r="D95" s="106" t="s">
        <v>167</v>
      </c>
      <c r="E95" s="405" t="s">
        <v>1253</v>
      </c>
      <c r="F95" s="309" t="s">
        <v>159</v>
      </c>
    </row>
    <row r="96" spans="1:6" ht="33.75" customHeight="1" x14ac:dyDescent="0.25">
      <c r="A96" s="406" t="s">
        <v>1016</v>
      </c>
      <c r="B96" s="355" t="s">
        <v>1023</v>
      </c>
      <c r="C96" s="121">
        <v>0</v>
      </c>
      <c r="D96" s="106" t="s">
        <v>167</v>
      </c>
      <c r="E96" s="405" t="s">
        <v>1253</v>
      </c>
      <c r="F96" s="309" t="s">
        <v>159</v>
      </c>
    </row>
    <row r="97" spans="1:13" ht="33" customHeight="1" x14ac:dyDescent="0.25">
      <c r="A97" s="406" t="s">
        <v>1017</v>
      </c>
      <c r="B97" s="355" t="s">
        <v>1024</v>
      </c>
      <c r="C97" s="220">
        <v>0</v>
      </c>
      <c r="D97" s="106" t="s">
        <v>167</v>
      </c>
      <c r="E97" s="405" t="s">
        <v>1253</v>
      </c>
      <c r="F97" s="309" t="s">
        <v>159</v>
      </c>
    </row>
    <row r="98" spans="1:13" ht="33.75" customHeight="1" x14ac:dyDescent="0.25">
      <c r="A98" s="127" t="s">
        <v>1018</v>
      </c>
      <c r="B98" s="106" t="s">
        <v>1025</v>
      </c>
      <c r="C98" s="220">
        <v>0</v>
      </c>
      <c r="D98" s="106" t="s">
        <v>167</v>
      </c>
      <c r="E98" s="405" t="s">
        <v>1253</v>
      </c>
      <c r="F98" s="309" t="s">
        <v>159</v>
      </c>
    </row>
    <row r="99" spans="1:13" ht="33" customHeight="1" x14ac:dyDescent="0.25">
      <c r="A99" s="127" t="s">
        <v>1001</v>
      </c>
      <c r="B99" s="106" t="s">
        <v>1026</v>
      </c>
      <c r="C99" s="220">
        <v>0</v>
      </c>
      <c r="D99" s="106" t="s">
        <v>167</v>
      </c>
      <c r="E99" s="405" t="s">
        <v>1253</v>
      </c>
      <c r="F99" s="309" t="s">
        <v>159</v>
      </c>
    </row>
    <row r="100" spans="1:13" x14ac:dyDescent="0.25">
      <c r="A100" s="127" t="s">
        <v>1019</v>
      </c>
      <c r="B100" s="106" t="s">
        <v>1027</v>
      </c>
      <c r="C100" s="220">
        <f>3.97*10^5</f>
        <v>397000</v>
      </c>
      <c r="D100" s="106" t="s">
        <v>978</v>
      </c>
      <c r="E100" s="222"/>
      <c r="F100" s="309" t="s">
        <v>159</v>
      </c>
    </row>
    <row r="101" spans="1:13" x14ac:dyDescent="0.25">
      <c r="A101" s="127" t="s">
        <v>1020</v>
      </c>
      <c r="B101" s="106" t="s">
        <v>1028</v>
      </c>
      <c r="C101" s="220">
        <f>1.21*10^6</f>
        <v>1210000</v>
      </c>
      <c r="D101" s="106" t="s">
        <v>978</v>
      </c>
      <c r="E101" s="222"/>
      <c r="F101" s="309" t="s">
        <v>159</v>
      </c>
    </row>
    <row r="104" spans="1:13" ht="23.25" x14ac:dyDescent="0.35">
      <c r="A104" s="133" t="s">
        <v>872</v>
      </c>
      <c r="H104" s="133" t="s">
        <v>1058</v>
      </c>
      <c r="L104" s="133" t="s">
        <v>1059</v>
      </c>
    </row>
    <row r="107" spans="1:13" x14ac:dyDescent="0.25">
      <c r="A107" s="226" t="s">
        <v>433</v>
      </c>
      <c r="B107" s="226" t="s">
        <v>1</v>
      </c>
      <c r="C107" s="226" t="s">
        <v>45</v>
      </c>
      <c r="D107" s="226" t="s">
        <v>46</v>
      </c>
      <c r="E107" s="226" t="s">
        <v>61</v>
      </c>
    </row>
    <row r="108" spans="1:13" x14ac:dyDescent="0.25">
      <c r="A108" s="222" t="s">
        <v>1029</v>
      </c>
      <c r="B108" s="5" t="s">
        <v>1041</v>
      </c>
      <c r="C108" s="155">
        <v>8500</v>
      </c>
      <c r="D108" s="222" t="s">
        <v>192</v>
      </c>
      <c r="E108" s="309"/>
      <c r="G108" s="246" t="s">
        <v>59</v>
      </c>
      <c r="H108" s="227" t="s">
        <v>1060</v>
      </c>
      <c r="I108" s="227" t="s">
        <v>1061</v>
      </c>
      <c r="K108" s="227" t="s">
        <v>827</v>
      </c>
      <c r="L108" s="227" t="s">
        <v>1060</v>
      </c>
      <c r="M108" s="227" t="s">
        <v>1061</v>
      </c>
    </row>
    <row r="109" spans="1:13" x14ac:dyDescent="0.25">
      <c r="A109" s="222" t="s">
        <v>1034</v>
      </c>
      <c r="B109" s="5" t="s">
        <v>174</v>
      </c>
      <c r="C109" s="110">
        <v>3200</v>
      </c>
      <c r="D109" s="222" t="s">
        <v>199</v>
      </c>
      <c r="E109" s="309"/>
      <c r="G109" s="227" t="s">
        <v>449</v>
      </c>
      <c r="H109" s="227">
        <f>C108*$C$16/1000</f>
        <v>8500</v>
      </c>
      <c r="I109" s="227">
        <v>0</v>
      </c>
      <c r="K109" s="227" t="s">
        <v>910</v>
      </c>
      <c r="L109" s="136">
        <f>Tabla1482[[#This Row],[Magnitud]]*0.4</f>
        <v>1280</v>
      </c>
      <c r="M109" s="136">
        <f>L109</f>
        <v>1280</v>
      </c>
    </row>
    <row r="110" spans="1:13" x14ac:dyDescent="0.25">
      <c r="A110" s="222" t="s">
        <v>1030</v>
      </c>
      <c r="B110" s="5" t="s">
        <v>1042</v>
      </c>
      <c r="C110" s="110">
        <f>0.6*C109</f>
        <v>1920</v>
      </c>
      <c r="D110" s="222" t="s">
        <v>199</v>
      </c>
      <c r="E110" s="309" t="s">
        <v>168</v>
      </c>
      <c r="G110" s="227" t="s">
        <v>774</v>
      </c>
      <c r="H110" s="136">
        <f>C109</f>
        <v>3200</v>
      </c>
      <c r="I110" s="227">
        <v>0</v>
      </c>
      <c r="K110" s="227" t="s">
        <v>1062</v>
      </c>
      <c r="L110" s="227">
        <f>C109*0.6</f>
        <v>1920</v>
      </c>
      <c r="M110" s="227">
        <v>0</v>
      </c>
    </row>
    <row r="111" spans="1:13" x14ac:dyDescent="0.25">
      <c r="A111" s="222" t="s">
        <v>1032</v>
      </c>
      <c r="B111" s="5" t="s">
        <v>1043</v>
      </c>
      <c r="C111" s="110">
        <f>C22*C109</f>
        <v>2099.2000000000003</v>
      </c>
      <c r="D111" s="222" t="s">
        <v>192</v>
      </c>
      <c r="E111" s="6"/>
      <c r="G111" s="227" t="s">
        <v>783</v>
      </c>
      <c r="H111" s="227">
        <v>0</v>
      </c>
      <c r="I111" s="227">
        <f>C126*C124</f>
        <v>11700</v>
      </c>
      <c r="K111" s="227" t="s">
        <v>1063</v>
      </c>
      <c r="L111" s="227">
        <v>0</v>
      </c>
      <c r="M111" s="227">
        <f>(C120+C121+C122)*C126/1000</f>
        <v>1431.0827856000001</v>
      </c>
    </row>
    <row r="112" spans="1:13" x14ac:dyDescent="0.25">
      <c r="A112" s="222" t="s">
        <v>1033</v>
      </c>
      <c r="B112" s="5" t="s">
        <v>1021</v>
      </c>
      <c r="C112" s="110">
        <f>C110*1000/(C108+C111)</f>
        <v>181.14574684881876</v>
      </c>
      <c r="D112" s="222" t="s">
        <v>167</v>
      </c>
      <c r="E112" s="309" t="s">
        <v>159</v>
      </c>
      <c r="G112" s="227"/>
      <c r="H112" s="227" t="s">
        <v>212</v>
      </c>
      <c r="I112" s="136">
        <f>((H109+H110+H111)-(I109+I110+I111))/(H109+H110+H111)</f>
        <v>0</v>
      </c>
      <c r="K112" s="227" t="s">
        <v>487</v>
      </c>
      <c r="L112" s="227">
        <v>0</v>
      </c>
      <c r="M112" s="227">
        <f>C123*C126/1000</f>
        <v>488.93049680000001</v>
      </c>
    </row>
    <row r="113" spans="1:13" x14ac:dyDescent="0.25">
      <c r="A113" s="222" t="s">
        <v>1050</v>
      </c>
      <c r="B113" s="5" t="s">
        <v>963</v>
      </c>
      <c r="C113" s="110">
        <v>55000</v>
      </c>
      <c r="D113" s="222" t="s">
        <v>978</v>
      </c>
      <c r="E113" s="309" t="s">
        <v>159</v>
      </c>
      <c r="K113" s="227"/>
      <c r="L113" s="227" t="s">
        <v>212</v>
      </c>
      <c r="M113" s="136">
        <f>(L109+L110-M109-M111-M112)*100/(L109+L111)</f>
        <v>-1.0376875000073227E-3</v>
      </c>
    </row>
    <row r="114" spans="1:13" x14ac:dyDescent="0.25">
      <c r="A114" s="222" t="s">
        <v>1051</v>
      </c>
      <c r="B114" s="123" t="s">
        <v>964</v>
      </c>
      <c r="C114" s="124">
        <v>120000</v>
      </c>
      <c r="D114" s="222" t="s">
        <v>978</v>
      </c>
      <c r="E114" s="309" t="s">
        <v>159</v>
      </c>
    </row>
    <row r="115" spans="1:13" x14ac:dyDescent="0.25">
      <c r="A115" s="222" t="s">
        <v>1054</v>
      </c>
      <c r="B115" s="5" t="s">
        <v>1052</v>
      </c>
      <c r="C115" s="110">
        <f>(C111+C108)*C113/C111</f>
        <v>277703.8871951219</v>
      </c>
      <c r="D115" s="222" t="s">
        <v>978</v>
      </c>
      <c r="E115" s="309" t="s">
        <v>159</v>
      </c>
    </row>
    <row r="116" spans="1:13" x14ac:dyDescent="0.25">
      <c r="A116" s="222" t="s">
        <v>1055</v>
      </c>
      <c r="B116" s="123" t="s">
        <v>1053</v>
      </c>
      <c r="C116" s="124">
        <f>(C111+C108)*C114/C111</f>
        <v>605899.39024390234</v>
      </c>
      <c r="D116" s="104" t="s">
        <v>978</v>
      </c>
      <c r="E116" s="309" t="s">
        <v>159</v>
      </c>
    </row>
    <row r="118" spans="1:13" x14ac:dyDescent="0.25">
      <c r="A118" s="226" t="s">
        <v>179</v>
      </c>
      <c r="B118" s="226" t="s">
        <v>1</v>
      </c>
      <c r="C118" s="226" t="s">
        <v>45</v>
      </c>
      <c r="D118" s="226" t="s">
        <v>46</v>
      </c>
      <c r="E118" s="226" t="s">
        <v>61</v>
      </c>
    </row>
    <row r="119" spans="1:13" x14ac:dyDescent="0.25">
      <c r="A119" s="222" t="s">
        <v>1035</v>
      </c>
      <c r="B119" s="5" t="s">
        <v>1044</v>
      </c>
      <c r="C119" s="110">
        <v>0</v>
      </c>
      <c r="D119" s="222" t="s">
        <v>167</v>
      </c>
      <c r="E119" s="309" t="s">
        <v>159</v>
      </c>
    </row>
    <row r="120" spans="1:13" x14ac:dyDescent="0.25">
      <c r="A120" s="222" t="s">
        <v>1036</v>
      </c>
      <c r="B120" s="5" t="s">
        <v>1047</v>
      </c>
      <c r="C120" s="110">
        <v>7.9080000000000004</v>
      </c>
      <c r="D120" s="222" t="s">
        <v>167</v>
      </c>
      <c r="E120" s="309" t="s">
        <v>159</v>
      </c>
    </row>
    <row r="121" spans="1:13" x14ac:dyDescent="0.25">
      <c r="A121" s="222" t="s">
        <v>1037</v>
      </c>
      <c r="B121" s="5" t="s">
        <v>1046</v>
      </c>
      <c r="C121" s="110">
        <v>100.61199999999999</v>
      </c>
      <c r="D121" s="222" t="s">
        <v>167</v>
      </c>
      <c r="E121" s="309" t="s">
        <v>159</v>
      </c>
    </row>
    <row r="122" spans="1:13" x14ac:dyDescent="0.25">
      <c r="A122" s="222" t="s">
        <v>1038</v>
      </c>
      <c r="B122" s="5" t="s">
        <v>1048</v>
      </c>
      <c r="C122" s="110">
        <v>26.498000000000001</v>
      </c>
      <c r="D122" s="222" t="s">
        <v>167</v>
      </c>
      <c r="E122" s="309" t="s">
        <v>159</v>
      </c>
    </row>
    <row r="123" spans="1:13" x14ac:dyDescent="0.25">
      <c r="A123" s="222" t="s">
        <v>1039</v>
      </c>
      <c r="B123" s="5" t="s">
        <v>1045</v>
      </c>
      <c r="C123" s="110">
        <v>46.128999999999998</v>
      </c>
      <c r="D123" s="222" t="s">
        <v>167</v>
      </c>
      <c r="E123" s="309" t="s">
        <v>159</v>
      </c>
    </row>
    <row r="124" spans="1:13" x14ac:dyDescent="0.25">
      <c r="A124" s="222" t="s">
        <v>1031</v>
      </c>
      <c r="B124" s="228" t="s">
        <v>877</v>
      </c>
      <c r="C124" s="110">
        <f>(C109+C108)/(C111+C108)</f>
        <v>1.1038568948599894</v>
      </c>
      <c r="D124" s="222" t="s">
        <v>167</v>
      </c>
      <c r="E124" s="309"/>
    </row>
    <row r="125" spans="1:13" x14ac:dyDescent="0.25">
      <c r="A125" s="222" t="s">
        <v>1040</v>
      </c>
      <c r="B125" s="5" t="s">
        <v>132</v>
      </c>
      <c r="C125" s="110">
        <v>50</v>
      </c>
      <c r="D125" s="222" t="s">
        <v>639</v>
      </c>
      <c r="E125" s="309"/>
    </row>
    <row r="126" spans="1:13" x14ac:dyDescent="0.25">
      <c r="A126" s="104" t="s">
        <v>247</v>
      </c>
      <c r="B126" s="123" t="s">
        <v>1049</v>
      </c>
      <c r="C126" s="124">
        <f>C108+C111</f>
        <v>10599.2</v>
      </c>
      <c r="D126" s="104" t="s">
        <v>192</v>
      </c>
      <c r="E126" s="309"/>
    </row>
    <row r="128" spans="1:13" x14ac:dyDescent="0.25">
      <c r="C128" s="251"/>
    </row>
    <row r="129" spans="1:13" ht="23.25" x14ac:dyDescent="0.35">
      <c r="A129" s="135" t="s">
        <v>224</v>
      </c>
      <c r="C129" s="251"/>
      <c r="H129" s="133" t="s">
        <v>1058</v>
      </c>
      <c r="L129" s="133" t="s">
        <v>1059</v>
      </c>
    </row>
    <row r="132" spans="1:13" x14ac:dyDescent="0.25">
      <c r="A132" s="226" t="s">
        <v>433</v>
      </c>
      <c r="B132" s="226" t="s">
        <v>1</v>
      </c>
      <c r="C132" s="226" t="s">
        <v>45</v>
      </c>
      <c r="D132" s="226" t="s">
        <v>46</v>
      </c>
      <c r="E132" s="226" t="s">
        <v>61</v>
      </c>
    </row>
    <row r="133" spans="1:13" x14ac:dyDescent="0.25">
      <c r="A133" s="222" t="s">
        <v>1029</v>
      </c>
      <c r="B133" s="5" t="s">
        <v>1041</v>
      </c>
      <c r="C133" s="155">
        <v>11300</v>
      </c>
      <c r="D133" s="222" t="s">
        <v>192</v>
      </c>
      <c r="E133" s="309"/>
      <c r="G133" s="246" t="s">
        <v>59</v>
      </c>
      <c r="H133" s="227" t="s">
        <v>1060</v>
      </c>
      <c r="I133" s="227" t="s">
        <v>1061</v>
      </c>
      <c r="K133" s="227" t="s">
        <v>827</v>
      </c>
      <c r="L133" s="227" t="s">
        <v>1060</v>
      </c>
      <c r="M133" s="227" t="s">
        <v>1061</v>
      </c>
    </row>
    <row r="134" spans="1:13" x14ac:dyDescent="0.25">
      <c r="A134" s="222" t="s">
        <v>1034</v>
      </c>
      <c r="B134" s="5" t="s">
        <v>174</v>
      </c>
      <c r="C134" s="110">
        <v>2628</v>
      </c>
      <c r="D134" s="222" t="s">
        <v>199</v>
      </c>
      <c r="E134" s="309"/>
      <c r="G134" s="227" t="s">
        <v>449</v>
      </c>
      <c r="H134" s="227">
        <f>C133*$C$16/1000</f>
        <v>11300</v>
      </c>
      <c r="I134" s="227">
        <v>0</v>
      </c>
      <c r="K134" s="227" t="s">
        <v>910</v>
      </c>
      <c r="L134" s="136">
        <f>Tabla148284[[#This Row],[Magnitud]]*0.4</f>
        <v>1051.2</v>
      </c>
      <c r="M134" s="136">
        <f>L134</f>
        <v>1051.2</v>
      </c>
    </row>
    <row r="135" spans="1:13" x14ac:dyDescent="0.25">
      <c r="A135" s="222" t="s">
        <v>1030</v>
      </c>
      <c r="B135" s="5" t="s">
        <v>1042</v>
      </c>
      <c r="C135" s="110">
        <f>0.6*C134</f>
        <v>1576.8</v>
      </c>
      <c r="D135" s="222" t="s">
        <v>199</v>
      </c>
      <c r="E135" s="222" t="s">
        <v>168</v>
      </c>
      <c r="G135" s="227" t="s">
        <v>774</v>
      </c>
      <c r="H135" s="136">
        <f>C134</f>
        <v>2628</v>
      </c>
      <c r="I135" s="227">
        <v>0</v>
      </c>
      <c r="K135" s="227" t="s">
        <v>1062</v>
      </c>
      <c r="L135" s="227">
        <f>C134*0.6</f>
        <v>1576.8</v>
      </c>
      <c r="M135" s="227">
        <v>0</v>
      </c>
    </row>
    <row r="136" spans="1:13" x14ac:dyDescent="0.25">
      <c r="A136" s="222" t="s">
        <v>1032</v>
      </c>
      <c r="B136" s="5" t="s">
        <v>1043</v>
      </c>
      <c r="C136" s="110">
        <f>0.656*C134</f>
        <v>1723.9680000000001</v>
      </c>
      <c r="D136" s="222" t="s">
        <v>192</v>
      </c>
      <c r="E136" s="6"/>
      <c r="G136" s="227" t="s">
        <v>783</v>
      </c>
      <c r="H136" s="227">
        <v>0</v>
      </c>
      <c r="I136" s="227">
        <f>C151*C149</f>
        <v>13928</v>
      </c>
      <c r="K136" s="227" t="s">
        <v>1063</v>
      </c>
      <c r="L136" s="227">
        <v>0</v>
      </c>
      <c r="M136" s="227">
        <f>(C145+C146+C147)*C151/1000</f>
        <v>1223.1120924032</v>
      </c>
    </row>
    <row r="137" spans="1:13" x14ac:dyDescent="0.25">
      <c r="A137" s="222" t="s">
        <v>1033</v>
      </c>
      <c r="B137" s="5" t="s">
        <v>1021</v>
      </c>
      <c r="C137" s="110">
        <f>C135*1000/(C133+C136)</f>
        <v>121.06909353585634</v>
      </c>
      <c r="D137" s="222" t="s">
        <v>167</v>
      </c>
      <c r="E137" s="309" t="s">
        <v>159</v>
      </c>
      <c r="G137" s="227"/>
      <c r="H137" s="227" t="s">
        <v>212</v>
      </c>
      <c r="I137" s="136">
        <f>((H134+H135+H136)-(I134+I135+I136))/(H134+H135+H136)</f>
        <v>0</v>
      </c>
      <c r="K137" s="227" t="s">
        <v>487</v>
      </c>
      <c r="L137" s="227">
        <v>0</v>
      </c>
      <c r="M137" s="227">
        <f>C148*C151/1000</f>
        <v>353.691898976</v>
      </c>
    </row>
    <row r="138" spans="1:13" x14ac:dyDescent="0.25">
      <c r="A138" s="222" t="s">
        <v>1050</v>
      </c>
      <c r="B138" s="5" t="s">
        <v>963</v>
      </c>
      <c r="C138" s="110">
        <v>55000</v>
      </c>
      <c r="D138" s="222" t="s">
        <v>978</v>
      </c>
      <c r="E138" s="309" t="s">
        <v>159</v>
      </c>
      <c r="K138" s="227"/>
      <c r="L138" s="227" t="s">
        <v>212</v>
      </c>
      <c r="M138" s="136">
        <f>(L134+L135-M134-M136-M137)*100/(L134+L136)</f>
        <v>-3.796974124852336E-4</v>
      </c>
    </row>
    <row r="139" spans="1:13" x14ac:dyDescent="0.25">
      <c r="A139" s="222" t="s">
        <v>1051</v>
      </c>
      <c r="B139" s="123" t="s">
        <v>964</v>
      </c>
      <c r="C139" s="124">
        <v>120000</v>
      </c>
      <c r="D139" s="222" t="s">
        <v>978</v>
      </c>
      <c r="E139" s="309" t="s">
        <v>159</v>
      </c>
    </row>
    <row r="140" spans="1:13" x14ac:dyDescent="0.25">
      <c r="A140" s="222" t="s">
        <v>1054</v>
      </c>
      <c r="B140" s="5" t="s">
        <v>1052</v>
      </c>
      <c r="C140" s="110">
        <f>(C136+C133)*C138/C136</f>
        <v>415505.53142517724</v>
      </c>
      <c r="D140" s="222" t="s">
        <v>978</v>
      </c>
      <c r="E140" s="309" t="s">
        <v>159</v>
      </c>
    </row>
    <row r="141" spans="1:13" x14ac:dyDescent="0.25">
      <c r="A141" s="222" t="s">
        <v>1055</v>
      </c>
      <c r="B141" s="123" t="s">
        <v>1053</v>
      </c>
      <c r="C141" s="124">
        <f>(C136+C133)*C139/C136</f>
        <v>906557.5231094776</v>
      </c>
      <c r="D141" s="104" t="s">
        <v>978</v>
      </c>
      <c r="E141" s="309" t="s">
        <v>159</v>
      </c>
    </row>
    <row r="143" spans="1:13" x14ac:dyDescent="0.25">
      <c r="A143" s="226" t="s">
        <v>179</v>
      </c>
      <c r="B143" s="226" t="s">
        <v>1</v>
      </c>
      <c r="C143" s="226" t="s">
        <v>45</v>
      </c>
      <c r="D143" s="226" t="s">
        <v>46</v>
      </c>
      <c r="E143" s="226" t="s">
        <v>61</v>
      </c>
    </row>
    <row r="144" spans="1:13" x14ac:dyDescent="0.25">
      <c r="A144" s="222" t="s">
        <v>1035</v>
      </c>
      <c r="B144" s="5" t="s">
        <v>1044</v>
      </c>
      <c r="C144" s="110">
        <v>0</v>
      </c>
      <c r="D144" s="222" t="s">
        <v>167</v>
      </c>
      <c r="E144" s="309" t="s">
        <v>159</v>
      </c>
    </row>
    <row r="145" spans="1:13" x14ac:dyDescent="0.25">
      <c r="A145" s="222" t="s">
        <v>1036</v>
      </c>
      <c r="B145" s="5" t="s">
        <v>1047</v>
      </c>
      <c r="C145" s="110">
        <v>4.7644000000000002</v>
      </c>
      <c r="D145" s="222" t="s">
        <v>167</v>
      </c>
      <c r="E145" s="309" t="s">
        <v>159</v>
      </c>
    </row>
    <row r="146" spans="1:13" x14ac:dyDescent="0.25">
      <c r="A146" s="222" t="s">
        <v>1037</v>
      </c>
      <c r="B146" s="5" t="s">
        <v>1046</v>
      </c>
      <c r="C146" s="110">
        <v>71.438199999999995</v>
      </c>
      <c r="D146" s="222" t="s">
        <v>167</v>
      </c>
      <c r="E146" s="309" t="s">
        <v>159</v>
      </c>
    </row>
    <row r="147" spans="1:13" x14ac:dyDescent="0.25">
      <c r="A147" s="222" t="s">
        <v>1038</v>
      </c>
      <c r="B147" s="5" t="s">
        <v>1048</v>
      </c>
      <c r="C147" s="110">
        <v>17.709800000000001</v>
      </c>
      <c r="D147" s="222" t="s">
        <v>167</v>
      </c>
      <c r="E147" s="309" t="s">
        <v>159</v>
      </c>
    </row>
    <row r="148" spans="1:13" x14ac:dyDescent="0.25">
      <c r="A148" s="222" t="s">
        <v>1039</v>
      </c>
      <c r="B148" s="5" t="s">
        <v>1045</v>
      </c>
      <c r="C148" s="110">
        <f>27.157</f>
        <v>27.157</v>
      </c>
      <c r="D148" s="222" t="s">
        <v>167</v>
      </c>
      <c r="E148" s="309" t="s">
        <v>159</v>
      </c>
    </row>
    <row r="149" spans="1:13" x14ac:dyDescent="0.25">
      <c r="A149" s="222" t="s">
        <v>1031</v>
      </c>
      <c r="B149" s="228" t="s">
        <v>878</v>
      </c>
      <c r="C149" s="110">
        <f>(C134+C133)/(C136+C133)</f>
        <v>1.0694129469605576</v>
      </c>
      <c r="D149" s="222" t="s">
        <v>167</v>
      </c>
      <c r="E149" s="309"/>
    </row>
    <row r="150" spans="1:13" x14ac:dyDescent="0.25">
      <c r="A150" s="222" t="s">
        <v>1040</v>
      </c>
      <c r="B150" s="5" t="s">
        <v>132</v>
      </c>
      <c r="C150" s="110">
        <v>50</v>
      </c>
      <c r="D150" s="222" t="s">
        <v>639</v>
      </c>
      <c r="E150" s="309"/>
    </row>
    <row r="151" spans="1:13" x14ac:dyDescent="0.25">
      <c r="A151" s="104" t="s">
        <v>247</v>
      </c>
      <c r="B151" s="123" t="s">
        <v>133</v>
      </c>
      <c r="C151" s="124">
        <f>C133+C136</f>
        <v>13023.968000000001</v>
      </c>
      <c r="D151" s="104" t="s">
        <v>192</v>
      </c>
      <c r="E151" s="104"/>
    </row>
    <row r="153" spans="1:13" ht="23.25" x14ac:dyDescent="0.35">
      <c r="C153" s="251"/>
      <c r="H153" s="133" t="s">
        <v>1058</v>
      </c>
      <c r="L153" s="133" t="s">
        <v>1059</v>
      </c>
    </row>
    <row r="154" spans="1:13" ht="23.25" x14ac:dyDescent="0.35">
      <c r="A154" s="135" t="s">
        <v>871</v>
      </c>
    </row>
    <row r="156" spans="1:13" x14ac:dyDescent="0.25">
      <c r="A156" s="226" t="s">
        <v>433</v>
      </c>
      <c r="B156" s="226" t="s">
        <v>1</v>
      </c>
      <c r="C156" s="226" t="s">
        <v>45</v>
      </c>
      <c r="D156" s="226" t="s">
        <v>46</v>
      </c>
      <c r="E156" s="226" t="s">
        <v>61</v>
      </c>
    </row>
    <row r="157" spans="1:13" x14ac:dyDescent="0.25">
      <c r="A157" s="222" t="s">
        <v>1029</v>
      </c>
      <c r="B157" s="5" t="s">
        <v>1041</v>
      </c>
      <c r="C157" s="155">
        <v>8500</v>
      </c>
      <c r="D157" s="222" t="s">
        <v>192</v>
      </c>
      <c r="E157" s="222"/>
      <c r="G157" s="246" t="s">
        <v>59</v>
      </c>
      <c r="H157" s="227" t="s">
        <v>1060</v>
      </c>
      <c r="I157" s="227" t="s">
        <v>1061</v>
      </c>
      <c r="K157" s="227" t="s">
        <v>827</v>
      </c>
      <c r="L157" s="227" t="s">
        <v>1060</v>
      </c>
      <c r="M157" s="227" t="s">
        <v>1061</v>
      </c>
    </row>
    <row r="158" spans="1:13" x14ac:dyDescent="0.25">
      <c r="A158" s="222" t="s">
        <v>1034</v>
      </c>
      <c r="B158" s="5" t="s">
        <v>174</v>
      </c>
      <c r="C158" s="110">
        <v>1800</v>
      </c>
      <c r="D158" s="222" t="s">
        <v>199</v>
      </c>
      <c r="E158" s="222"/>
      <c r="G158" s="227" t="s">
        <v>449</v>
      </c>
      <c r="H158" s="227">
        <f>C157*$C$16/1000</f>
        <v>8500</v>
      </c>
      <c r="I158" s="227">
        <v>0</v>
      </c>
      <c r="K158" s="227" t="s">
        <v>910</v>
      </c>
      <c r="L158" s="136">
        <f>Tabla14828486[[#This Row],[Magnitud]]*0.4</f>
        <v>720</v>
      </c>
      <c r="M158" s="136">
        <f>L158</f>
        <v>720</v>
      </c>
    </row>
    <row r="159" spans="1:13" x14ac:dyDescent="0.25">
      <c r="A159" s="222" t="s">
        <v>1030</v>
      </c>
      <c r="B159" s="5" t="s">
        <v>1042</v>
      </c>
      <c r="C159" s="110">
        <f>0.6*C158</f>
        <v>1080</v>
      </c>
      <c r="D159" s="222" t="s">
        <v>199</v>
      </c>
      <c r="E159" s="222" t="s">
        <v>168</v>
      </c>
      <c r="G159" s="227" t="s">
        <v>774</v>
      </c>
      <c r="H159" s="136">
        <f>C158</f>
        <v>1800</v>
      </c>
      <c r="I159" s="227">
        <v>0</v>
      </c>
      <c r="K159" s="227" t="s">
        <v>1062</v>
      </c>
      <c r="L159" s="227">
        <f>C158*0.6</f>
        <v>1080</v>
      </c>
      <c r="M159" s="227">
        <v>0</v>
      </c>
    </row>
    <row r="160" spans="1:13" x14ac:dyDescent="0.25">
      <c r="A160" s="222" t="s">
        <v>1032</v>
      </c>
      <c r="B160" s="5" t="s">
        <v>1043</v>
      </c>
      <c r="C160" s="110">
        <f>0.656*C158</f>
        <v>1180.8</v>
      </c>
      <c r="D160" s="222" t="s">
        <v>192</v>
      </c>
      <c r="E160" s="6" t="s">
        <v>159</v>
      </c>
      <c r="G160" s="227" t="s">
        <v>783</v>
      </c>
      <c r="H160" s="227">
        <v>0</v>
      </c>
      <c r="I160" s="227">
        <f>C175*C173</f>
        <v>10300</v>
      </c>
      <c r="K160" s="227" t="s">
        <v>1063</v>
      </c>
      <c r="L160" s="227">
        <v>0</v>
      </c>
      <c r="M160" s="227">
        <f>(C169+C170+C171)*C175/1000</f>
        <v>843.52682719999996</v>
      </c>
    </row>
    <row r="161" spans="1:13" x14ac:dyDescent="0.25">
      <c r="A161" s="222" t="s">
        <v>1033</v>
      </c>
      <c r="B161" s="5" t="s">
        <v>1021</v>
      </c>
      <c r="C161" s="110">
        <f>C159*1000/(C157+C160)</f>
        <v>111.5610280142137</v>
      </c>
      <c r="D161" s="222" t="s">
        <v>167</v>
      </c>
      <c r="E161" s="6" t="s">
        <v>159</v>
      </c>
      <c r="G161" s="227"/>
      <c r="H161" s="227" t="s">
        <v>212</v>
      </c>
      <c r="I161" s="136">
        <f>((H158+H159+H160)-(I158+I159+I160))/(H158+H159+H160)</f>
        <v>0</v>
      </c>
      <c r="K161" s="227" t="s">
        <v>487</v>
      </c>
      <c r="L161" s="227">
        <v>0</v>
      </c>
      <c r="M161" s="227">
        <f>C172*C175/1000</f>
        <v>236.48258239999998</v>
      </c>
    </row>
    <row r="162" spans="1:13" x14ac:dyDescent="0.25">
      <c r="A162" s="222" t="s">
        <v>1050</v>
      </c>
      <c r="B162" s="5" t="s">
        <v>963</v>
      </c>
      <c r="C162" s="110">
        <v>55000</v>
      </c>
      <c r="D162" s="222" t="s">
        <v>978</v>
      </c>
      <c r="E162" s="6" t="s">
        <v>159</v>
      </c>
      <c r="K162" s="227"/>
      <c r="L162" s="227" t="s">
        <v>212</v>
      </c>
      <c r="M162" s="136">
        <f>(L158+L159-M158-M160-M161)*100/(L158+L160)</f>
        <v>-1.3068888888807034E-3</v>
      </c>
    </row>
    <row r="163" spans="1:13" x14ac:dyDescent="0.25">
      <c r="A163" s="222" t="s">
        <v>1051</v>
      </c>
      <c r="B163" s="123" t="s">
        <v>964</v>
      </c>
      <c r="C163" s="124">
        <v>120000</v>
      </c>
      <c r="D163" s="222" t="s">
        <v>978</v>
      </c>
      <c r="E163" s="6" t="s">
        <v>159</v>
      </c>
    </row>
    <row r="164" spans="1:13" x14ac:dyDescent="0.25">
      <c r="A164" s="222" t="s">
        <v>1054</v>
      </c>
      <c r="B164" s="5" t="s">
        <v>1052</v>
      </c>
      <c r="C164" s="110">
        <f>(C160+C157)*C162/C160</f>
        <v>450918.02168021677</v>
      </c>
      <c r="D164" s="222" t="s">
        <v>978</v>
      </c>
      <c r="E164" s="6" t="s">
        <v>159</v>
      </c>
    </row>
    <row r="165" spans="1:13" x14ac:dyDescent="0.25">
      <c r="A165" s="222" t="s">
        <v>1055</v>
      </c>
      <c r="B165" s="123" t="s">
        <v>1053</v>
      </c>
      <c r="C165" s="124">
        <f>(C160+C157)*C163/C160</f>
        <v>983821.1382113822</v>
      </c>
      <c r="D165" s="104" t="s">
        <v>978</v>
      </c>
      <c r="E165" s="6" t="s">
        <v>159</v>
      </c>
    </row>
    <row r="167" spans="1:13" x14ac:dyDescent="0.25">
      <c r="A167" s="226" t="s">
        <v>179</v>
      </c>
      <c r="B167" s="226" t="s">
        <v>1</v>
      </c>
      <c r="C167" s="226" t="s">
        <v>45</v>
      </c>
      <c r="D167" s="226" t="s">
        <v>46</v>
      </c>
      <c r="E167" s="226" t="s">
        <v>61</v>
      </c>
    </row>
    <row r="168" spans="1:13" x14ac:dyDescent="0.25">
      <c r="A168" s="222" t="s">
        <v>1035</v>
      </c>
      <c r="B168" s="5" t="s">
        <v>1044</v>
      </c>
      <c r="C168" s="110">
        <v>0</v>
      </c>
      <c r="D168" s="222" t="s">
        <v>167</v>
      </c>
      <c r="E168" s="6" t="s">
        <v>159</v>
      </c>
    </row>
    <row r="169" spans="1:13" x14ac:dyDescent="0.25">
      <c r="A169" s="222" t="s">
        <v>1036</v>
      </c>
      <c r="B169" s="5" t="s">
        <v>1047</v>
      </c>
      <c r="C169" s="110">
        <v>4.306</v>
      </c>
      <c r="D169" s="222" t="s">
        <v>167</v>
      </c>
      <c r="E169" s="6" t="s">
        <v>159</v>
      </c>
    </row>
    <row r="170" spans="1:13" x14ac:dyDescent="0.25">
      <c r="A170" s="222" t="s">
        <v>1037</v>
      </c>
      <c r="B170" s="5" t="s">
        <v>1046</v>
      </c>
      <c r="C170" s="110">
        <v>66.509</v>
      </c>
      <c r="D170" s="222" t="s">
        <v>167</v>
      </c>
      <c r="E170" s="6" t="s">
        <v>159</v>
      </c>
    </row>
    <row r="171" spans="1:13" x14ac:dyDescent="0.25">
      <c r="A171" s="222" t="s">
        <v>1038</v>
      </c>
      <c r="B171" s="5" t="s">
        <v>1048</v>
      </c>
      <c r="C171" s="110">
        <v>16.318999999999999</v>
      </c>
      <c r="D171" s="222" t="s">
        <v>167</v>
      </c>
      <c r="E171" s="6" t="s">
        <v>159</v>
      </c>
    </row>
    <row r="172" spans="1:13" x14ac:dyDescent="0.25">
      <c r="A172" s="222" t="s">
        <v>1039</v>
      </c>
      <c r="B172" s="5" t="s">
        <v>1045</v>
      </c>
      <c r="C172" s="110">
        <v>24.428000000000001</v>
      </c>
      <c r="D172" s="222" t="s">
        <v>167</v>
      </c>
      <c r="E172" s="6" t="s">
        <v>159</v>
      </c>
    </row>
    <row r="173" spans="1:13" x14ac:dyDescent="0.25">
      <c r="A173" s="222" t="s">
        <v>789</v>
      </c>
      <c r="B173" s="228" t="s">
        <v>879</v>
      </c>
      <c r="C173" s="110">
        <f>(C157+C158)/(C157+C160)</f>
        <v>1.0639616560614826</v>
      </c>
      <c r="D173" s="222" t="s">
        <v>167</v>
      </c>
      <c r="E173" s="6"/>
    </row>
    <row r="174" spans="1:13" x14ac:dyDescent="0.25">
      <c r="A174" s="222" t="s">
        <v>1040</v>
      </c>
      <c r="B174" s="5" t="s">
        <v>132</v>
      </c>
      <c r="C174" s="110">
        <v>50</v>
      </c>
      <c r="D174" s="222" t="s">
        <v>639</v>
      </c>
      <c r="E174" s="6"/>
    </row>
    <row r="175" spans="1:13" x14ac:dyDescent="0.25">
      <c r="A175" s="104" t="s">
        <v>247</v>
      </c>
      <c r="B175" s="123" t="s">
        <v>133</v>
      </c>
      <c r="C175" s="124">
        <f>C157+C160</f>
        <v>9680.7999999999993</v>
      </c>
      <c r="D175" s="104" t="s">
        <v>192</v>
      </c>
      <c r="E175" s="6"/>
    </row>
    <row r="178" spans="1:5" x14ac:dyDescent="0.25">
      <c r="C178" s="251"/>
    </row>
    <row r="179" spans="1:5" x14ac:dyDescent="0.25">
      <c r="A179" s="21" t="s">
        <v>1254</v>
      </c>
      <c r="C179" s="251"/>
    </row>
    <row r="181" spans="1:5" x14ac:dyDescent="0.25">
      <c r="A181" t="s">
        <v>624</v>
      </c>
    </row>
    <row r="182" spans="1:5" x14ac:dyDescent="0.25">
      <c r="A182" s="404" t="s">
        <v>1255</v>
      </c>
      <c r="B182" s="404"/>
      <c r="C182" s="404"/>
      <c r="D182" s="404"/>
      <c r="E182" s="404"/>
    </row>
    <row r="183" spans="1:5" x14ac:dyDescent="0.25">
      <c r="A183" s="404" t="s">
        <v>1256</v>
      </c>
      <c r="B183" s="404"/>
    </row>
  </sheetData>
  <mergeCells count="2">
    <mergeCell ref="A182:E182"/>
    <mergeCell ref="A183:B183"/>
  </mergeCells>
  <pageMargins left="0.7" right="0.7" top="0.75" bottom="0.75" header="0.3" footer="0.3"/>
  <pageSetup orientation="portrait" r:id="rId1"/>
  <drawing r:id="rId2"/>
  <tableParts count="15">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2"/>
  <sheetViews>
    <sheetView topLeftCell="G36" zoomScale="64" zoomScaleNormal="64" workbookViewId="0">
      <selection activeCell="C28" sqref="C28"/>
    </sheetView>
  </sheetViews>
  <sheetFormatPr baseColWidth="10" defaultRowHeight="15" x14ac:dyDescent="0.25"/>
  <cols>
    <col min="1" max="1" width="44.140625" bestFit="1" customWidth="1"/>
    <col min="2" max="2" width="11.85546875" customWidth="1"/>
    <col min="3" max="3" width="14.42578125" bestFit="1" customWidth="1"/>
    <col min="4" max="4" width="19.42578125" bestFit="1" customWidth="1"/>
    <col min="5" max="5" width="53.28515625" bestFit="1" customWidth="1"/>
    <col min="6" max="6" width="75.28515625" bestFit="1" customWidth="1"/>
    <col min="7" max="7" width="12.85546875" customWidth="1"/>
    <col min="8" max="8" width="36.7109375" bestFit="1" customWidth="1"/>
    <col min="9" max="9" width="20" bestFit="1" customWidth="1"/>
    <col min="10" max="10" width="19.5703125" bestFit="1" customWidth="1"/>
    <col min="11" max="11" width="19.28515625" bestFit="1" customWidth="1"/>
    <col min="12" max="12" width="57.28515625" bestFit="1" customWidth="1"/>
    <col min="13" max="13" width="66.85546875" bestFit="1" customWidth="1"/>
    <col min="14" max="14" width="45.7109375" bestFit="1" customWidth="1"/>
    <col min="15" max="16" width="34.5703125" bestFit="1" customWidth="1"/>
    <col min="17" max="17" width="27.140625" bestFit="1" customWidth="1"/>
  </cols>
  <sheetData>
    <row r="1" spans="1:8" x14ac:dyDescent="0.25">
      <c r="A1" s="357"/>
      <c r="B1" s="357"/>
      <c r="C1" s="357"/>
      <c r="D1" s="357"/>
      <c r="E1" s="357"/>
      <c r="F1" s="357"/>
      <c r="G1" s="22"/>
      <c r="H1" s="22"/>
    </row>
    <row r="2" spans="1:8" x14ac:dyDescent="0.25">
      <c r="A2" s="357"/>
      <c r="B2" s="357"/>
      <c r="C2" s="357"/>
      <c r="D2" s="357"/>
      <c r="E2" s="357"/>
      <c r="F2" s="357"/>
      <c r="G2" s="22"/>
      <c r="H2" s="22"/>
    </row>
    <row r="3" spans="1:8" x14ac:dyDescent="0.25">
      <c r="A3" s="357"/>
      <c r="B3" s="357"/>
      <c r="C3" s="357"/>
      <c r="D3" s="357"/>
      <c r="E3" s="357"/>
      <c r="F3" s="357"/>
      <c r="G3" s="22"/>
      <c r="H3" s="22"/>
    </row>
    <row r="4" spans="1:8" x14ac:dyDescent="0.25">
      <c r="A4" s="357"/>
      <c r="B4" s="357"/>
      <c r="C4" s="357"/>
      <c r="D4" s="357"/>
      <c r="E4" s="357"/>
      <c r="F4" s="357"/>
      <c r="G4" s="22"/>
      <c r="H4" s="22"/>
    </row>
    <row r="5" spans="1:8" x14ac:dyDescent="0.25">
      <c r="A5" s="357"/>
      <c r="B5" s="357"/>
      <c r="C5" s="357"/>
      <c r="D5" s="357"/>
      <c r="E5" s="357"/>
      <c r="F5" s="357"/>
      <c r="G5" s="22"/>
      <c r="H5" s="22"/>
    </row>
    <row r="6" spans="1:8" x14ac:dyDescent="0.25">
      <c r="A6" s="357"/>
      <c r="B6" s="357"/>
      <c r="C6" s="357"/>
      <c r="D6" s="357"/>
      <c r="E6" s="357"/>
      <c r="F6" s="357"/>
      <c r="G6" s="22"/>
      <c r="H6" s="22"/>
    </row>
    <row r="7" spans="1:8" x14ac:dyDescent="0.25">
      <c r="A7" s="357"/>
      <c r="B7" s="357"/>
      <c r="C7" s="357"/>
      <c r="D7" s="357"/>
      <c r="E7" s="357"/>
      <c r="F7" s="357"/>
      <c r="G7" s="22"/>
      <c r="H7" s="22"/>
    </row>
    <row r="8" spans="1:8" x14ac:dyDescent="0.25">
      <c r="A8" s="357"/>
      <c r="B8" s="357"/>
      <c r="C8" s="357"/>
      <c r="D8" s="357"/>
      <c r="E8" s="357"/>
      <c r="F8" s="357"/>
      <c r="G8" s="22"/>
      <c r="H8" s="22"/>
    </row>
    <row r="9" spans="1:8" x14ac:dyDescent="0.25">
      <c r="A9" s="357"/>
      <c r="B9" s="357"/>
      <c r="C9" s="357"/>
      <c r="D9" s="357"/>
      <c r="E9" s="357"/>
      <c r="F9" s="357"/>
      <c r="G9" s="22"/>
      <c r="H9" s="22"/>
    </row>
    <row r="10" spans="1:8" x14ac:dyDescent="0.25">
      <c r="A10" s="357"/>
      <c r="B10" s="357"/>
      <c r="C10" s="357"/>
      <c r="D10" s="357"/>
      <c r="E10" s="357"/>
      <c r="F10" s="357"/>
      <c r="G10" s="22"/>
      <c r="H10" s="22"/>
    </row>
    <row r="11" spans="1:8" x14ac:dyDescent="0.25">
      <c r="A11" s="357"/>
      <c r="B11" s="357"/>
      <c r="C11" s="357"/>
      <c r="D11" s="357"/>
      <c r="E11" s="357"/>
      <c r="F11" s="357"/>
      <c r="G11" s="22"/>
      <c r="H11" s="22"/>
    </row>
    <row r="12" spans="1:8" x14ac:dyDescent="0.25">
      <c r="A12" s="357"/>
      <c r="B12" s="357"/>
      <c r="C12" s="357"/>
      <c r="D12" s="357"/>
      <c r="E12" s="357"/>
      <c r="F12" s="357"/>
      <c r="G12" s="22"/>
      <c r="H12" s="22"/>
    </row>
    <row r="13" spans="1:8" x14ac:dyDescent="0.25">
      <c r="A13" s="357"/>
      <c r="B13" s="357"/>
      <c r="C13" s="357"/>
      <c r="D13" s="357"/>
      <c r="E13" s="357"/>
      <c r="F13" s="357"/>
    </row>
    <row r="15" spans="1:8" x14ac:dyDescent="0.25">
      <c r="A15" s="125" t="s">
        <v>11</v>
      </c>
      <c r="B15" s="125" t="s">
        <v>62</v>
      </c>
      <c r="C15" s="114" t="s">
        <v>46</v>
      </c>
      <c r="D15" s="114" t="s">
        <v>45</v>
      </c>
      <c r="E15" s="114" t="s">
        <v>60</v>
      </c>
      <c r="F15" s="151" t="s">
        <v>61</v>
      </c>
    </row>
    <row r="16" spans="1:8" x14ac:dyDescent="0.25">
      <c r="A16" s="127" t="s">
        <v>880</v>
      </c>
      <c r="B16" s="95" t="s">
        <v>877</v>
      </c>
      <c r="C16" s="114" t="s">
        <v>19</v>
      </c>
      <c r="D16" s="126">
        <f>'Reactor Batch 1'!C124*1000</f>
        <v>1103.8568948599893</v>
      </c>
      <c r="E16" s="151"/>
      <c r="F16" s="142" t="s">
        <v>158</v>
      </c>
    </row>
    <row r="17" spans="1:6" x14ac:dyDescent="0.25">
      <c r="A17" s="127" t="s">
        <v>1056</v>
      </c>
      <c r="B17" s="95" t="s">
        <v>878</v>
      </c>
      <c r="C17" s="95" t="s">
        <v>19</v>
      </c>
      <c r="D17" s="110">
        <f>1000*'Reactor Batch 1'!C149</f>
        <v>1069.4129469605575</v>
      </c>
      <c r="E17" s="7"/>
      <c r="F17" s="140" t="s">
        <v>158</v>
      </c>
    </row>
    <row r="18" spans="1:6" x14ac:dyDescent="0.25">
      <c r="A18" s="127" t="s">
        <v>1057</v>
      </c>
      <c r="B18" s="95" t="s">
        <v>879</v>
      </c>
      <c r="C18" s="95" t="s">
        <v>19</v>
      </c>
      <c r="D18" s="110">
        <f>'Reactor Batch 1'!C173*1000</f>
        <v>1063.9616560614827</v>
      </c>
      <c r="E18" s="95"/>
      <c r="F18" s="96" t="s">
        <v>158</v>
      </c>
    </row>
    <row r="19" spans="1:6" x14ac:dyDescent="0.25">
      <c r="A19" s="127" t="s">
        <v>119</v>
      </c>
      <c r="B19" s="5" t="s">
        <v>128</v>
      </c>
      <c r="C19" s="95" t="s">
        <v>42</v>
      </c>
      <c r="D19" s="110">
        <f>1.53*10^-3</f>
        <v>1.5300000000000001E-3</v>
      </c>
      <c r="E19" s="95"/>
      <c r="F19" s="96" t="s">
        <v>159</v>
      </c>
    </row>
    <row r="20" spans="1:6" x14ac:dyDescent="0.25">
      <c r="A20" s="127" t="s">
        <v>120</v>
      </c>
      <c r="B20" s="5" t="s">
        <v>129</v>
      </c>
      <c r="C20" s="95" t="s">
        <v>137</v>
      </c>
      <c r="D20" s="155">
        <f>5*10^11</f>
        <v>500000000000</v>
      </c>
      <c r="E20" s="95" t="s">
        <v>610</v>
      </c>
      <c r="F20" s="96" t="s">
        <v>168</v>
      </c>
    </row>
    <row r="21" spans="1:6" x14ac:dyDescent="0.25">
      <c r="A21" s="127" t="s">
        <v>121</v>
      </c>
      <c r="B21" s="95" t="s">
        <v>130</v>
      </c>
      <c r="C21" s="95" t="s">
        <v>136</v>
      </c>
      <c r="D21" s="155">
        <f>1.386*10^11</f>
        <v>138600000000</v>
      </c>
      <c r="E21" s="95" t="s">
        <v>609</v>
      </c>
      <c r="F21" s="96" t="s">
        <v>168</v>
      </c>
    </row>
    <row r="22" spans="1:6" x14ac:dyDescent="0.25">
      <c r="A22" s="127" t="s">
        <v>885</v>
      </c>
      <c r="B22" s="95" t="s">
        <v>882</v>
      </c>
      <c r="C22" s="95" t="s">
        <v>19</v>
      </c>
      <c r="D22" s="110">
        <f>'Reactor Batch 1'!M109*1000/'Reactor Batch 1'!H109</f>
        <v>150.58823529411765</v>
      </c>
      <c r="E22" s="95" t="s">
        <v>611</v>
      </c>
      <c r="F22" s="145" t="s">
        <v>59</v>
      </c>
    </row>
    <row r="23" spans="1:6" x14ac:dyDescent="0.25">
      <c r="A23" s="127" t="s">
        <v>886</v>
      </c>
      <c r="B23" s="95" t="s">
        <v>883</v>
      </c>
      <c r="C23" s="95" t="s">
        <v>19</v>
      </c>
      <c r="D23" s="110">
        <f>'Reactor Batch 1'!M134*1000/'Reactor Batch 1'!H134</f>
        <v>93.026548672566378</v>
      </c>
      <c r="E23" s="95" t="s">
        <v>611</v>
      </c>
      <c r="F23" s="145" t="s">
        <v>59</v>
      </c>
    </row>
    <row r="24" spans="1:6" x14ac:dyDescent="0.25">
      <c r="A24" s="127" t="s">
        <v>887</v>
      </c>
      <c r="B24" s="95" t="s">
        <v>884</v>
      </c>
      <c r="C24" s="104" t="s">
        <v>19</v>
      </c>
      <c r="D24" s="124">
        <f>'Reactor Batch 1'!M158*1000/'Reactor Batch 1'!H158</f>
        <v>84.705882352941174</v>
      </c>
      <c r="E24" s="104" t="s">
        <v>611</v>
      </c>
      <c r="F24" s="152" t="s">
        <v>59</v>
      </c>
    </row>
    <row r="26" spans="1:6" x14ac:dyDescent="0.25">
      <c r="A26" s="129" t="s">
        <v>12</v>
      </c>
      <c r="B26" s="114" t="s">
        <v>62</v>
      </c>
      <c r="C26" s="114" t="s">
        <v>45</v>
      </c>
      <c r="D26" s="114" t="s">
        <v>46</v>
      </c>
      <c r="E26" s="151" t="s">
        <v>60</v>
      </c>
      <c r="F26" s="44" t="s">
        <v>881</v>
      </c>
    </row>
    <row r="27" spans="1:6" x14ac:dyDescent="0.25">
      <c r="A27" s="128" t="s">
        <v>122</v>
      </c>
      <c r="B27" s="12" t="s">
        <v>38</v>
      </c>
      <c r="C27" s="12">
        <v>4</v>
      </c>
      <c r="D27" s="12" t="s">
        <v>605</v>
      </c>
      <c r="E27" s="12"/>
      <c r="F27" s="95" t="s">
        <v>613</v>
      </c>
    </row>
    <row r="28" spans="1:6" x14ac:dyDescent="0.25">
      <c r="A28" s="128" t="s">
        <v>123</v>
      </c>
      <c r="B28" s="12" t="s">
        <v>106</v>
      </c>
      <c r="C28" s="12">
        <f>C29/C27</f>
        <v>3.46</v>
      </c>
      <c r="D28" s="6" t="s">
        <v>59</v>
      </c>
      <c r="E28" s="12"/>
      <c r="F28" s="95" t="s">
        <v>613</v>
      </c>
    </row>
    <row r="29" spans="1:6" x14ac:dyDescent="0.25">
      <c r="A29" s="128" t="s">
        <v>124</v>
      </c>
      <c r="B29" s="13" t="s">
        <v>104</v>
      </c>
      <c r="C29" s="12">
        <f>MAX(C40,C57,C73)</f>
        <v>13.84</v>
      </c>
      <c r="D29" s="12" t="s">
        <v>605</v>
      </c>
      <c r="E29" s="12"/>
      <c r="F29" s="95" t="s">
        <v>613</v>
      </c>
    </row>
    <row r="30" spans="1:6" x14ac:dyDescent="0.25">
      <c r="A30" s="144" t="s">
        <v>204</v>
      </c>
      <c r="B30" s="153" t="s">
        <v>205</v>
      </c>
      <c r="C30" s="104">
        <v>0.99</v>
      </c>
      <c r="D30" s="11" t="s">
        <v>59</v>
      </c>
      <c r="E30" s="104"/>
      <c r="F30" s="104" t="s">
        <v>614</v>
      </c>
    </row>
    <row r="34" spans="1:13" ht="23.25" x14ac:dyDescent="0.35">
      <c r="A34" s="133" t="s">
        <v>872</v>
      </c>
      <c r="B34" s="20"/>
      <c r="H34" s="134" t="s">
        <v>438</v>
      </c>
    </row>
    <row r="36" spans="1:13" x14ac:dyDescent="0.25">
      <c r="A36" s="157" t="s">
        <v>51</v>
      </c>
      <c r="B36" s="114" t="s">
        <v>62</v>
      </c>
      <c r="C36" s="114" t="s">
        <v>45</v>
      </c>
      <c r="D36" s="114" t="s">
        <v>46</v>
      </c>
      <c r="E36" s="151" t="s">
        <v>63</v>
      </c>
      <c r="F36" s="142" t="s">
        <v>64</v>
      </c>
      <c r="H36" s="113" t="s">
        <v>208</v>
      </c>
      <c r="I36" s="114" t="s">
        <v>62</v>
      </c>
      <c r="J36" s="114" t="s">
        <v>45</v>
      </c>
      <c r="K36" s="114" t="s">
        <v>46</v>
      </c>
      <c r="L36" s="114" t="s">
        <v>203</v>
      </c>
      <c r="M36" s="43" t="s">
        <v>907</v>
      </c>
    </row>
    <row r="37" spans="1:13" x14ac:dyDescent="0.25">
      <c r="A37" s="128" t="s">
        <v>125</v>
      </c>
      <c r="B37" s="5" t="s">
        <v>131</v>
      </c>
      <c r="C37" s="95">
        <v>303975</v>
      </c>
      <c r="D37" s="95" t="s">
        <v>134</v>
      </c>
      <c r="E37" s="95" t="s">
        <v>888</v>
      </c>
      <c r="F37" s="96" t="s">
        <v>613</v>
      </c>
      <c r="H37" s="98" t="s">
        <v>892</v>
      </c>
      <c r="I37" s="64" t="s">
        <v>891</v>
      </c>
      <c r="J37" s="110">
        <f>C39*1000/C38</f>
        <v>0.73605555555555557</v>
      </c>
      <c r="K37" s="64" t="s">
        <v>202</v>
      </c>
      <c r="L37" s="110">
        <f>'Reactor Batch 1'!M109*1000/'Reactor Batch 1'!C126</f>
        <v>120.76383123254584</v>
      </c>
      <c r="M37" s="247">
        <f>('Reactor Batch 1'!M111+'Reactor Batch 1'!M112)*1000/'Reactor Batch 1'!C126</f>
        <v>181.14699999999999</v>
      </c>
    </row>
    <row r="38" spans="1:13" x14ac:dyDescent="0.25">
      <c r="A38" s="128" t="s">
        <v>126</v>
      </c>
      <c r="B38" s="95" t="s">
        <v>132</v>
      </c>
      <c r="C38" s="95">
        <f>7200*2</f>
        <v>14400</v>
      </c>
      <c r="D38" s="95" t="s">
        <v>135</v>
      </c>
      <c r="E38" s="95" t="s">
        <v>889</v>
      </c>
      <c r="F38" s="96"/>
      <c r="H38" s="98" t="s">
        <v>893</v>
      </c>
      <c r="I38" s="64" t="s">
        <v>894</v>
      </c>
      <c r="J38" s="110">
        <f>J37-J39</f>
        <v>0.72409748376068372</v>
      </c>
      <c r="K38" s="64" t="s">
        <v>202</v>
      </c>
      <c r="L38" s="110">
        <f>(L37*J37-L39*J39)/J38</f>
        <v>1.2275817950262071</v>
      </c>
      <c r="M38" s="158">
        <f>M37</f>
        <v>181.14699999999999</v>
      </c>
    </row>
    <row r="39" spans="1:13" x14ac:dyDescent="0.25">
      <c r="A39" s="128" t="s">
        <v>127</v>
      </c>
      <c r="B39" s="95" t="s">
        <v>133</v>
      </c>
      <c r="C39" s="95">
        <f>'Reactor Batch 1'!C126/1000</f>
        <v>10.599200000000002</v>
      </c>
      <c r="D39" s="95" t="s">
        <v>138</v>
      </c>
      <c r="E39" s="95"/>
      <c r="F39" s="96"/>
      <c r="H39" s="47" t="s">
        <v>896</v>
      </c>
      <c r="I39" s="104" t="s">
        <v>895</v>
      </c>
      <c r="J39" s="124">
        <f>0.99*J37*L37*0.15/(D16)</f>
        <v>1.1958071794871794E-2</v>
      </c>
      <c r="K39" s="104" t="s">
        <v>202</v>
      </c>
      <c r="L39" s="124">
        <f>0.99*J37*L37/J39</f>
        <v>7359.0459657332622</v>
      </c>
      <c r="M39" s="158">
        <f>M38</f>
        <v>181.14699999999999</v>
      </c>
    </row>
    <row r="40" spans="1:13" x14ac:dyDescent="0.25">
      <c r="A40" s="144" t="s">
        <v>225</v>
      </c>
      <c r="B40" s="104" t="s">
        <v>104</v>
      </c>
      <c r="C40" s="104">
        <v>13.84</v>
      </c>
      <c r="D40" s="104" t="s">
        <v>41</v>
      </c>
      <c r="E40" s="104"/>
      <c r="F40" s="48"/>
      <c r="H40" s="18" t="s">
        <v>206</v>
      </c>
      <c r="I40" s="18" t="s">
        <v>61</v>
      </c>
      <c r="J40" s="17"/>
      <c r="K40" s="17"/>
      <c r="L40" s="17"/>
      <c r="M40" s="17"/>
    </row>
    <row r="41" spans="1:13" ht="23.25" x14ac:dyDescent="0.35">
      <c r="A41" s="94"/>
      <c r="B41" s="94"/>
      <c r="C41" s="17"/>
      <c r="D41" s="17"/>
      <c r="F41" s="17"/>
      <c r="G41" s="17"/>
      <c r="H41" s="17" t="s">
        <v>207</v>
      </c>
      <c r="I41" s="17" t="s">
        <v>614</v>
      </c>
      <c r="J41" s="17"/>
      <c r="K41" s="17"/>
      <c r="L41" s="133" t="s">
        <v>781</v>
      </c>
      <c r="M41" s="17"/>
    </row>
    <row r="42" spans="1:13" x14ac:dyDescent="0.25">
      <c r="G42" s="17"/>
      <c r="J42" s="17"/>
      <c r="K42" s="17"/>
      <c r="L42" s="17"/>
      <c r="M42" s="17"/>
    </row>
    <row r="43" spans="1:13" x14ac:dyDescent="0.25">
      <c r="G43" s="17"/>
      <c r="H43" s="113" t="s">
        <v>209</v>
      </c>
      <c r="I43" s="122" t="s">
        <v>827</v>
      </c>
      <c r="J43" s="115" t="s">
        <v>212</v>
      </c>
      <c r="K43" s="17"/>
      <c r="L43" s="94" t="s">
        <v>890</v>
      </c>
      <c r="M43" s="94" t="s">
        <v>786</v>
      </c>
    </row>
    <row r="44" spans="1:13" x14ac:dyDescent="0.25">
      <c r="H44" s="159" t="s">
        <v>213</v>
      </c>
      <c r="I44" s="64">
        <f>J39+J38-J37</f>
        <v>0</v>
      </c>
      <c r="J44" s="96">
        <v>0</v>
      </c>
      <c r="L44" s="120">
        <f>L39*J39*C38/1000</f>
        <v>1267.1999999999998</v>
      </c>
      <c r="M44" s="120">
        <f>J39*C38*D16/1000</f>
        <v>190.07999999999998</v>
      </c>
    </row>
    <row r="45" spans="1:13" x14ac:dyDescent="0.25">
      <c r="H45" s="100" t="s">
        <v>214</v>
      </c>
      <c r="I45" s="64"/>
      <c r="J45" s="96"/>
      <c r="L45" s="136"/>
      <c r="M45" s="136"/>
    </row>
    <row r="46" spans="1:13" x14ac:dyDescent="0.25">
      <c r="H46" s="98" t="s">
        <v>213</v>
      </c>
      <c r="I46" s="64">
        <f>M39*J39+M38*J38-M37*J37</f>
        <v>0</v>
      </c>
      <c r="J46" s="96">
        <v>0</v>
      </c>
    </row>
    <row r="47" spans="1:13" x14ac:dyDescent="0.25">
      <c r="H47" s="100" t="s">
        <v>215</v>
      </c>
      <c r="I47" s="64"/>
      <c r="J47" s="96"/>
    </row>
    <row r="48" spans="1:13" x14ac:dyDescent="0.25">
      <c r="H48" s="160" t="s">
        <v>213</v>
      </c>
      <c r="I48" s="104">
        <f>L39*J39+L38*J38-L37*J37</f>
        <v>0</v>
      </c>
      <c r="J48" s="48">
        <f>I48*100/L37*J37</f>
        <v>0</v>
      </c>
    </row>
    <row r="49" spans="1:15" x14ac:dyDescent="0.25">
      <c r="G49" s="17"/>
    </row>
    <row r="50" spans="1:15" x14ac:dyDescent="0.25">
      <c r="G50" s="17"/>
    </row>
    <row r="51" spans="1:15" ht="23.25" x14ac:dyDescent="0.35">
      <c r="A51" s="156" t="s">
        <v>224</v>
      </c>
      <c r="B51" s="3"/>
      <c r="C51" s="17"/>
      <c r="D51" s="17"/>
      <c r="F51" s="17"/>
      <c r="G51" s="17"/>
      <c r="H51" s="134" t="s">
        <v>438</v>
      </c>
    </row>
    <row r="52" spans="1:15" x14ac:dyDescent="0.25">
      <c r="A52" s="94"/>
      <c r="B52" s="94"/>
      <c r="C52" s="17"/>
      <c r="D52" s="17"/>
      <c r="F52" s="17"/>
    </row>
    <row r="53" spans="1:15" x14ac:dyDescent="0.25">
      <c r="A53" s="129" t="s">
        <v>51</v>
      </c>
      <c r="B53" s="114" t="s">
        <v>62</v>
      </c>
      <c r="C53" s="114" t="s">
        <v>45</v>
      </c>
      <c r="D53" s="114" t="s">
        <v>46</v>
      </c>
      <c r="E53" s="151" t="s">
        <v>63</v>
      </c>
      <c r="F53" s="142" t="s">
        <v>64</v>
      </c>
      <c r="H53" s="113" t="s">
        <v>208</v>
      </c>
      <c r="I53" s="114" t="s">
        <v>62</v>
      </c>
      <c r="J53" s="114" t="s">
        <v>45</v>
      </c>
      <c r="K53" s="114" t="s">
        <v>46</v>
      </c>
      <c r="L53" s="114" t="s">
        <v>203</v>
      </c>
      <c r="M53" s="43" t="s">
        <v>907</v>
      </c>
    </row>
    <row r="54" spans="1:15" x14ac:dyDescent="0.25">
      <c r="A54" s="128" t="s">
        <v>125</v>
      </c>
      <c r="B54" s="5" t="s">
        <v>131</v>
      </c>
      <c r="C54" s="15">
        <v>303975</v>
      </c>
      <c r="D54" s="15" t="s">
        <v>134</v>
      </c>
      <c r="E54" s="95" t="s">
        <v>888</v>
      </c>
      <c r="F54" s="96" t="s">
        <v>613</v>
      </c>
      <c r="H54" s="98" t="s">
        <v>892</v>
      </c>
      <c r="I54" s="95" t="s">
        <v>891</v>
      </c>
      <c r="J54" s="109">
        <f>C56*1000/C55</f>
        <v>0.90444222222222226</v>
      </c>
      <c r="K54" s="64" t="s">
        <v>202</v>
      </c>
      <c r="L54" s="110">
        <f>'Reactor Batch 1'!M134*1000/'Reactor Batch 1'!C151</f>
        <v>80.712729023904231</v>
      </c>
      <c r="M54" s="158">
        <f>('Reactor Batch 1'!M136+'Reactor Batch 1'!M137)*1000/'Reactor Batch 1'!C151</f>
        <v>121.06939999999999</v>
      </c>
    </row>
    <row r="55" spans="1:15" x14ac:dyDescent="0.25">
      <c r="A55" s="128" t="s">
        <v>126</v>
      </c>
      <c r="B55" s="15" t="s">
        <v>132</v>
      </c>
      <c r="C55" s="15">
        <f>2*60*60*2</f>
        <v>14400</v>
      </c>
      <c r="D55" s="15" t="s">
        <v>135</v>
      </c>
      <c r="E55" s="95" t="s">
        <v>889</v>
      </c>
      <c r="F55" s="96"/>
      <c r="H55" s="98" t="s">
        <v>893</v>
      </c>
      <c r="I55" s="95" t="s">
        <v>894</v>
      </c>
      <c r="J55" s="109">
        <f>J54-J56</f>
        <v>0.89430535224060248</v>
      </c>
      <c r="K55" s="64" t="s">
        <v>202</v>
      </c>
      <c r="L55" s="110">
        <f>(L54*J54-L56*J56)/J55</f>
        <v>0.81627600480199958</v>
      </c>
      <c r="M55" s="158">
        <v>121.0694</v>
      </c>
    </row>
    <row r="56" spans="1:15" x14ac:dyDescent="0.25">
      <c r="A56" s="128" t="s">
        <v>127</v>
      </c>
      <c r="B56" s="15" t="s">
        <v>133</v>
      </c>
      <c r="C56" s="15">
        <f>'Reactor Batch 1'!C151/1000</f>
        <v>13.023968</v>
      </c>
      <c r="D56" s="15" t="s">
        <v>138</v>
      </c>
      <c r="E56" s="15"/>
      <c r="F56" s="96"/>
      <c r="H56" s="47" t="s">
        <v>896</v>
      </c>
      <c r="I56" s="104" t="s">
        <v>895</v>
      </c>
      <c r="J56" s="146">
        <f>0.99*J54*L54*0.15/(D17)</f>
        <v>1.0136869981619759E-2</v>
      </c>
      <c r="K56" s="104" t="s">
        <v>202</v>
      </c>
      <c r="L56" s="124">
        <f>0.99*J54*L54/J56</f>
        <v>7129.4196464037168</v>
      </c>
      <c r="M56" s="158">
        <v>121.0694</v>
      </c>
    </row>
    <row r="57" spans="1:15" x14ac:dyDescent="0.25">
      <c r="A57" s="144" t="s">
        <v>225</v>
      </c>
      <c r="B57" s="104" t="s">
        <v>104</v>
      </c>
      <c r="C57" s="104">
        <v>12.18</v>
      </c>
      <c r="D57" s="104" t="s">
        <v>41</v>
      </c>
      <c r="E57" s="104"/>
      <c r="F57" s="48"/>
      <c r="H57" s="18" t="s">
        <v>206</v>
      </c>
      <c r="I57" s="18" t="s">
        <v>61</v>
      </c>
    </row>
    <row r="58" spans="1:15" ht="23.25" x14ac:dyDescent="0.35">
      <c r="A58" s="94"/>
      <c r="B58" s="94"/>
      <c r="C58" s="17"/>
      <c r="D58" s="17"/>
      <c r="E58" s="17"/>
      <c r="F58" s="17"/>
      <c r="H58" s="17" t="s">
        <v>207</v>
      </c>
      <c r="I58" s="17" t="s">
        <v>614</v>
      </c>
      <c r="L58" s="133" t="s">
        <v>781</v>
      </c>
    </row>
    <row r="59" spans="1:15" x14ac:dyDescent="0.25">
      <c r="O59" s="17"/>
    </row>
    <row r="60" spans="1:15" x14ac:dyDescent="0.25">
      <c r="H60" s="101" t="s">
        <v>209</v>
      </c>
      <c r="I60" s="101" t="s">
        <v>827</v>
      </c>
      <c r="J60" s="101" t="s">
        <v>212</v>
      </c>
      <c r="L60" s="42" t="s">
        <v>890</v>
      </c>
      <c r="M60" s="43" t="s">
        <v>786</v>
      </c>
      <c r="O60" s="17"/>
    </row>
    <row r="61" spans="1:15" x14ac:dyDescent="0.25">
      <c r="H61" s="7" t="s">
        <v>213</v>
      </c>
      <c r="I61" s="95">
        <f>J56+J55-J54</f>
        <v>0</v>
      </c>
      <c r="J61" s="95">
        <v>0</v>
      </c>
      <c r="L61" s="147">
        <f>L56*J56*C55/1000</f>
        <v>1040.6880000000001</v>
      </c>
      <c r="M61" s="148">
        <f>J56*C55*D17/1000</f>
        <v>156.10319999999999</v>
      </c>
      <c r="O61" s="17"/>
    </row>
    <row r="62" spans="1:15" x14ac:dyDescent="0.25">
      <c r="H62" s="103" t="s">
        <v>214</v>
      </c>
      <c r="I62" s="95"/>
      <c r="J62" s="95"/>
      <c r="N62" s="161"/>
      <c r="O62" s="162"/>
    </row>
    <row r="63" spans="1:15" x14ac:dyDescent="0.25">
      <c r="H63" s="95" t="s">
        <v>213</v>
      </c>
      <c r="I63" s="95">
        <f>M56*J56+M55*J55-M54*J54</f>
        <v>0</v>
      </c>
      <c r="J63" s="95">
        <v>0</v>
      </c>
      <c r="N63" s="163"/>
      <c r="O63" s="163"/>
    </row>
    <row r="64" spans="1:15" x14ac:dyDescent="0.25">
      <c r="H64" s="103" t="s">
        <v>215</v>
      </c>
      <c r="I64" s="95"/>
      <c r="J64" s="95"/>
    </row>
    <row r="65" spans="1:15" x14ac:dyDescent="0.25">
      <c r="H65" s="26" t="s">
        <v>213</v>
      </c>
      <c r="I65" s="95">
        <f>L56*J56+L55*J55-L54*J54</f>
        <v>0</v>
      </c>
      <c r="J65" s="95">
        <f>I65*100/L54*J54</f>
        <v>0</v>
      </c>
    </row>
    <row r="66" spans="1:15" x14ac:dyDescent="0.25">
      <c r="O66" s="17"/>
    </row>
    <row r="67" spans="1:15" ht="23.25" x14ac:dyDescent="0.35">
      <c r="A67" s="156" t="s">
        <v>871</v>
      </c>
      <c r="B67" s="20"/>
      <c r="C67" s="17"/>
      <c r="D67" s="17"/>
      <c r="E67" s="17"/>
      <c r="F67" s="17"/>
      <c r="H67" s="134" t="s">
        <v>438</v>
      </c>
      <c r="O67" s="17"/>
    </row>
    <row r="68" spans="1:15" x14ac:dyDescent="0.25">
      <c r="A68" s="94"/>
      <c r="B68" s="94"/>
      <c r="C68" s="17"/>
      <c r="D68" s="17"/>
      <c r="E68" s="17"/>
      <c r="F68" s="17"/>
      <c r="O68" s="17"/>
    </row>
    <row r="69" spans="1:15" x14ac:dyDescent="0.25">
      <c r="A69" s="129" t="s">
        <v>51</v>
      </c>
      <c r="B69" s="114" t="s">
        <v>62</v>
      </c>
      <c r="C69" s="114" t="s">
        <v>45</v>
      </c>
      <c r="D69" s="114" t="s">
        <v>46</v>
      </c>
      <c r="E69" s="151" t="s">
        <v>63</v>
      </c>
      <c r="F69" s="142" t="s">
        <v>64</v>
      </c>
      <c r="H69" s="113" t="s">
        <v>208</v>
      </c>
      <c r="I69" s="114" t="s">
        <v>62</v>
      </c>
      <c r="J69" s="114" t="s">
        <v>45</v>
      </c>
      <c r="K69" s="114" t="s">
        <v>46</v>
      </c>
      <c r="L69" s="114" t="s">
        <v>203</v>
      </c>
      <c r="M69" s="43" t="s">
        <v>907</v>
      </c>
    </row>
    <row r="70" spans="1:15" x14ac:dyDescent="0.25">
      <c r="A70" s="128" t="s">
        <v>125</v>
      </c>
      <c r="B70" s="5" t="s">
        <v>131</v>
      </c>
      <c r="C70" s="15">
        <v>303975</v>
      </c>
      <c r="D70" s="15" t="s">
        <v>134</v>
      </c>
      <c r="E70" s="95" t="s">
        <v>888</v>
      </c>
      <c r="F70" s="96" t="s">
        <v>613</v>
      </c>
      <c r="H70" s="98" t="s">
        <v>892</v>
      </c>
      <c r="I70" s="95" t="s">
        <v>891</v>
      </c>
      <c r="J70" s="110">
        <f>C72*1000/C71</f>
        <v>0.71527777777777779</v>
      </c>
      <c r="K70" s="64" t="s">
        <v>202</v>
      </c>
      <c r="L70" s="110">
        <f>'Reactor Batch 1'!M158*1000/'Reactor Batch 1'!C175</f>
        <v>74.37401867614247</v>
      </c>
      <c r="M70" s="158">
        <f>('Reactor Batch 1'!M160+'Reactor Batch 1'!M161)*1000/'Reactor Batch 1'!C175</f>
        <v>111.56200000000003</v>
      </c>
    </row>
    <row r="71" spans="1:15" x14ac:dyDescent="0.25">
      <c r="A71" s="128" t="s">
        <v>126</v>
      </c>
      <c r="B71" s="15" t="s">
        <v>132</v>
      </c>
      <c r="C71" s="15">
        <f>2*60*60*2</f>
        <v>14400</v>
      </c>
      <c r="D71" s="15" t="s">
        <v>135</v>
      </c>
      <c r="E71" s="95" t="s">
        <v>889</v>
      </c>
      <c r="F71" s="96"/>
      <c r="H71" s="98" t="s">
        <v>893</v>
      </c>
      <c r="I71" s="95" t="s">
        <v>894</v>
      </c>
      <c r="J71" s="110">
        <f>J70-J72</f>
        <v>0.70785277777777778</v>
      </c>
      <c r="K71" s="64" t="s">
        <v>202</v>
      </c>
      <c r="L71" s="110">
        <f>(L70*J70-L72*J72)/J71</f>
        <v>0.75154162663715518</v>
      </c>
      <c r="M71" s="158">
        <v>128.8655</v>
      </c>
    </row>
    <row r="72" spans="1:15" x14ac:dyDescent="0.25">
      <c r="A72" s="128" t="s">
        <v>127</v>
      </c>
      <c r="B72" s="15" t="s">
        <v>133</v>
      </c>
      <c r="C72" s="15">
        <f>'Reactor Batch 1'!I160/1000</f>
        <v>10.3</v>
      </c>
      <c r="D72" s="15" t="s">
        <v>138</v>
      </c>
      <c r="E72" s="15"/>
      <c r="F72" s="96"/>
      <c r="H72" s="47" t="s">
        <v>896</v>
      </c>
      <c r="I72" s="104" t="s">
        <v>895</v>
      </c>
      <c r="J72" s="124">
        <f>0.99*J70*L70*0.15/D18</f>
        <v>7.4249999999999993E-3</v>
      </c>
      <c r="K72" s="104" t="s">
        <v>202</v>
      </c>
      <c r="L72" s="124">
        <f>0.99*J70*L70/J72</f>
        <v>7093.0777070765516</v>
      </c>
      <c r="M72" s="158">
        <v>128.8655</v>
      </c>
    </row>
    <row r="73" spans="1:15" x14ac:dyDescent="0.25">
      <c r="A73" s="144" t="s">
        <v>225</v>
      </c>
      <c r="B73" s="104" t="s">
        <v>104</v>
      </c>
      <c r="C73" s="104">
        <v>10.31</v>
      </c>
      <c r="D73" s="104" t="s">
        <v>41</v>
      </c>
      <c r="E73" s="104"/>
      <c r="F73" s="48"/>
      <c r="H73" s="18" t="s">
        <v>206</v>
      </c>
      <c r="I73" s="18" t="s">
        <v>61</v>
      </c>
    </row>
    <row r="74" spans="1:15" ht="23.25" x14ac:dyDescent="0.35">
      <c r="H74" s="17" t="s">
        <v>207</v>
      </c>
      <c r="I74" s="17" t="s">
        <v>614</v>
      </c>
      <c r="L74" s="133" t="s">
        <v>781</v>
      </c>
    </row>
    <row r="76" spans="1:15" x14ac:dyDescent="0.25">
      <c r="H76" s="101" t="s">
        <v>209</v>
      </c>
      <c r="I76" s="101" t="s">
        <v>827</v>
      </c>
      <c r="J76" s="101" t="s">
        <v>212</v>
      </c>
      <c r="L76" s="42" t="s">
        <v>908</v>
      </c>
      <c r="M76" s="43" t="s">
        <v>909</v>
      </c>
    </row>
    <row r="77" spans="1:15" x14ac:dyDescent="0.25">
      <c r="H77" s="7" t="s">
        <v>213</v>
      </c>
      <c r="I77" s="95">
        <f>J72+J71-J70</f>
        <v>0</v>
      </c>
      <c r="J77" s="95">
        <v>0</v>
      </c>
      <c r="L77" s="136">
        <f>L72*J72*C71/1000</f>
        <v>758.39186844062476</v>
      </c>
      <c r="M77" s="136">
        <f>J72*C71*D18/1000</f>
        <v>113.75878026609372</v>
      </c>
      <c r="N77" s="161"/>
      <c r="O77" s="161"/>
    </row>
    <row r="78" spans="1:15" x14ac:dyDescent="0.25">
      <c r="H78" s="103" t="s">
        <v>214</v>
      </c>
      <c r="I78" s="95"/>
      <c r="J78" s="95"/>
    </row>
    <row r="79" spans="1:15" x14ac:dyDescent="0.25">
      <c r="H79" s="95" t="s">
        <v>213</v>
      </c>
      <c r="I79" s="95">
        <f>M72*J72+M71*J71-M70*J70</f>
        <v>12.376809027777753</v>
      </c>
      <c r="J79" s="95">
        <v>0</v>
      </c>
    </row>
    <row r="80" spans="1:15" x14ac:dyDescent="0.25">
      <c r="H80" s="103" t="s">
        <v>215</v>
      </c>
      <c r="I80" s="95"/>
      <c r="J80" s="95"/>
    </row>
    <row r="81" spans="1:15" x14ac:dyDescent="0.25">
      <c r="A81" s="21" t="s">
        <v>606</v>
      </c>
      <c r="H81" s="26" t="s">
        <v>213</v>
      </c>
      <c r="I81" s="95">
        <f>L72*J72+L71*J71-L70*J70</f>
        <v>0</v>
      </c>
      <c r="J81" s="95">
        <f>I81*100/L70*J70</f>
        <v>0</v>
      </c>
    </row>
    <row r="82" spans="1:15" x14ac:dyDescent="0.25">
      <c r="A82" t="s">
        <v>607</v>
      </c>
      <c r="O82" s="17"/>
    </row>
    <row r="83" spans="1:15" x14ac:dyDescent="0.25">
      <c r="A83" t="s">
        <v>608</v>
      </c>
      <c r="O83" s="17"/>
    </row>
    <row r="84" spans="1:15" x14ac:dyDescent="0.25">
      <c r="A84" t="s">
        <v>612</v>
      </c>
      <c r="O84" s="17"/>
    </row>
    <row r="85" spans="1:15" x14ac:dyDescent="0.25">
      <c r="A85" t="s">
        <v>615</v>
      </c>
      <c r="O85" s="17"/>
    </row>
    <row r="86" spans="1:15" x14ac:dyDescent="0.25">
      <c r="A86" t="s">
        <v>616</v>
      </c>
      <c r="I86" s="17"/>
      <c r="J86" s="17"/>
      <c r="K86" s="17"/>
      <c r="L86" s="17"/>
      <c r="M86" s="17"/>
      <c r="N86" s="17"/>
      <c r="O86" s="17"/>
    </row>
    <row r="87" spans="1:15" x14ac:dyDescent="0.25">
      <c r="A87" t="s">
        <v>785</v>
      </c>
      <c r="I87" s="17"/>
      <c r="J87" s="17"/>
      <c r="K87" s="17"/>
      <c r="L87" s="17"/>
      <c r="M87" s="17"/>
      <c r="N87" s="17"/>
      <c r="O87" s="17"/>
    </row>
    <row r="88" spans="1:15" x14ac:dyDescent="0.25">
      <c r="L88" s="17"/>
      <c r="M88" s="17"/>
      <c r="N88" s="17"/>
      <c r="O88" s="17"/>
    </row>
    <row r="89" spans="1:15" x14ac:dyDescent="0.25">
      <c r="L89" s="17"/>
      <c r="M89" s="17"/>
      <c r="N89" s="17"/>
      <c r="O89" s="17"/>
    </row>
    <row r="90" spans="1:15" x14ac:dyDescent="0.25">
      <c r="L90" s="17"/>
      <c r="M90" s="17"/>
      <c r="N90" s="17"/>
      <c r="O90" s="17"/>
    </row>
    <row r="91" spans="1:15" x14ac:dyDescent="0.25">
      <c r="L91" s="17"/>
      <c r="M91" s="17"/>
      <c r="N91" s="17"/>
      <c r="O91" s="17"/>
    </row>
    <row r="92" spans="1:15" x14ac:dyDescent="0.25">
      <c r="L92" s="17"/>
      <c r="M92" s="17"/>
      <c r="N92" s="17"/>
      <c r="O92" s="17"/>
    </row>
    <row r="93" spans="1:15" x14ac:dyDescent="0.25">
      <c r="L93" s="17"/>
      <c r="M93" s="17"/>
      <c r="N93" s="17"/>
      <c r="O93" s="17"/>
    </row>
    <row r="94" spans="1:15" x14ac:dyDescent="0.25">
      <c r="O94" s="17"/>
    </row>
    <row r="95" spans="1:15" x14ac:dyDescent="0.25">
      <c r="O95" s="17"/>
    </row>
    <row r="96" spans="1:15" x14ac:dyDescent="0.25">
      <c r="I96" s="18"/>
      <c r="J96" s="17"/>
      <c r="K96" s="17"/>
      <c r="L96" s="17"/>
      <c r="M96" s="17"/>
      <c r="N96" s="17"/>
      <c r="O96" s="17"/>
    </row>
    <row r="97" spans="9:15" x14ac:dyDescent="0.25">
      <c r="I97" s="17"/>
      <c r="J97" s="17"/>
      <c r="K97" s="17"/>
      <c r="L97" s="17"/>
      <c r="M97" s="17"/>
      <c r="N97" s="17"/>
      <c r="O97" s="17"/>
    </row>
    <row r="99" spans="9:15" x14ac:dyDescent="0.25">
      <c r="O99" s="17"/>
    </row>
    <row r="100" spans="9:15" x14ac:dyDescent="0.25">
      <c r="O100" s="17"/>
    </row>
    <row r="102" spans="9:15" x14ac:dyDescent="0.25">
      <c r="I102" s="17"/>
      <c r="J102" s="17"/>
      <c r="K102" s="17"/>
      <c r="L102" s="17"/>
      <c r="M102" s="17"/>
      <c r="N102" s="17"/>
      <c r="O102" s="17"/>
    </row>
    <row r="103" spans="9:15" x14ac:dyDescent="0.25">
      <c r="I103" s="17"/>
      <c r="J103" s="17"/>
      <c r="K103" s="17"/>
      <c r="L103" s="17"/>
      <c r="M103" s="17"/>
      <c r="N103" s="17"/>
      <c r="O103" s="17"/>
    </row>
    <row r="104" spans="9:15" x14ac:dyDescent="0.25">
      <c r="K104" s="17"/>
      <c r="L104" s="17"/>
      <c r="M104" s="17"/>
      <c r="N104" s="17"/>
      <c r="O104" s="17"/>
    </row>
    <row r="105" spans="9:15" x14ac:dyDescent="0.25">
      <c r="K105" s="17"/>
      <c r="L105" s="17"/>
      <c r="M105" s="17"/>
      <c r="N105" s="17"/>
      <c r="O105" s="17"/>
    </row>
    <row r="106" spans="9:15" x14ac:dyDescent="0.25">
      <c r="I106" s="17"/>
      <c r="J106" s="17"/>
      <c r="K106" s="17"/>
      <c r="L106" s="17"/>
      <c r="M106" s="17"/>
      <c r="N106" s="17"/>
      <c r="O106" s="17"/>
    </row>
    <row r="107" spans="9:15" x14ac:dyDescent="0.25">
      <c r="I107" s="17"/>
      <c r="J107" s="17"/>
      <c r="K107" s="17"/>
      <c r="L107" s="17"/>
      <c r="M107" s="17"/>
      <c r="N107" s="17"/>
      <c r="O107" s="17"/>
    </row>
    <row r="108" spans="9:15" x14ac:dyDescent="0.25">
      <c r="L108" s="17"/>
      <c r="M108" s="17"/>
      <c r="N108" s="17"/>
      <c r="O108" s="17"/>
    </row>
    <row r="109" spans="9:15" x14ac:dyDescent="0.25">
      <c r="L109" s="17"/>
      <c r="M109" s="17"/>
      <c r="N109" s="17"/>
      <c r="O109" s="17"/>
    </row>
    <row r="110" spans="9:15" x14ac:dyDescent="0.25">
      <c r="L110" s="17"/>
      <c r="M110" s="17"/>
      <c r="N110" s="17"/>
      <c r="O110" s="17"/>
    </row>
    <row r="111" spans="9:15" x14ac:dyDescent="0.25">
      <c r="L111" s="17"/>
      <c r="M111" s="17"/>
      <c r="N111" s="17"/>
      <c r="O111" s="17"/>
    </row>
    <row r="112" spans="9:15" x14ac:dyDescent="0.25">
      <c r="L112" s="17"/>
      <c r="M112" s="17"/>
      <c r="N112" s="17"/>
      <c r="O112" s="17"/>
    </row>
    <row r="113" spans="9:15" x14ac:dyDescent="0.25">
      <c r="L113" s="17"/>
      <c r="M113" s="17"/>
      <c r="N113" s="17"/>
      <c r="O113" s="17"/>
    </row>
    <row r="114" spans="9:15" x14ac:dyDescent="0.25">
      <c r="O114" s="17"/>
    </row>
    <row r="115" spans="9:15" x14ac:dyDescent="0.25">
      <c r="I115" s="21"/>
      <c r="O115" s="17"/>
    </row>
    <row r="116" spans="9:15" x14ac:dyDescent="0.25">
      <c r="O116" s="17"/>
    </row>
    <row r="118" spans="9:15" x14ac:dyDescent="0.25">
      <c r="O118" s="17"/>
    </row>
    <row r="119" spans="9:15" x14ac:dyDescent="0.25">
      <c r="O119" s="17"/>
    </row>
    <row r="121" spans="9:15" x14ac:dyDescent="0.25">
      <c r="I121" s="17"/>
      <c r="J121" s="17"/>
      <c r="K121" s="17"/>
      <c r="L121" s="17"/>
      <c r="M121" s="17"/>
      <c r="N121" s="17"/>
      <c r="O121" s="17"/>
    </row>
    <row r="122" spans="9:15" x14ac:dyDescent="0.25">
      <c r="I122" s="17"/>
      <c r="J122" s="17"/>
      <c r="K122" s="17"/>
      <c r="L122" s="17"/>
      <c r="M122" s="17"/>
      <c r="N122" s="17"/>
      <c r="O122" s="17"/>
    </row>
    <row r="123" spans="9:15" x14ac:dyDescent="0.25">
      <c r="K123" s="17"/>
      <c r="L123" s="17"/>
      <c r="M123" s="17"/>
      <c r="N123" s="17"/>
      <c r="O123" s="17"/>
    </row>
    <row r="124" spans="9:15" x14ac:dyDescent="0.25">
      <c r="K124" s="17"/>
      <c r="L124" s="17"/>
      <c r="M124" s="17"/>
      <c r="N124" s="17"/>
      <c r="O124" s="17"/>
    </row>
    <row r="125" spans="9:15" x14ac:dyDescent="0.25">
      <c r="I125" s="17"/>
      <c r="J125" s="17"/>
      <c r="K125" s="17"/>
      <c r="L125" s="17"/>
      <c r="M125" s="17"/>
      <c r="N125" s="17"/>
      <c r="O125" s="17"/>
    </row>
    <row r="126" spans="9:15" x14ac:dyDescent="0.25">
      <c r="I126" s="17"/>
      <c r="J126" s="17"/>
      <c r="K126" s="17"/>
      <c r="L126" s="17"/>
      <c r="M126" s="17"/>
      <c r="N126" s="17"/>
      <c r="O126" s="17"/>
    </row>
    <row r="127" spans="9:15" x14ac:dyDescent="0.25">
      <c r="L127" s="17"/>
      <c r="M127" s="17"/>
      <c r="N127" s="17"/>
      <c r="O127" s="17"/>
    </row>
    <row r="128" spans="9:15" x14ac:dyDescent="0.25">
      <c r="L128" s="17"/>
      <c r="M128" s="17"/>
      <c r="N128" s="17"/>
      <c r="O128" s="17"/>
    </row>
    <row r="129" spans="12:15" x14ac:dyDescent="0.25">
      <c r="L129" s="17"/>
      <c r="M129" s="17"/>
      <c r="N129" s="17"/>
      <c r="O129" s="17"/>
    </row>
    <row r="130" spans="12:15" x14ac:dyDescent="0.25">
      <c r="L130" s="17"/>
      <c r="M130" s="17"/>
      <c r="N130" s="17"/>
      <c r="O130" s="17"/>
    </row>
    <row r="131" spans="12:15" x14ac:dyDescent="0.25">
      <c r="L131" s="17"/>
      <c r="M131" s="17"/>
      <c r="N131" s="17"/>
      <c r="O131" s="17"/>
    </row>
    <row r="132" spans="12:15" x14ac:dyDescent="0.25">
      <c r="L132" s="17"/>
      <c r="M132" s="17"/>
      <c r="N132" s="17"/>
      <c r="O132" s="17"/>
    </row>
  </sheetData>
  <mergeCells count="1">
    <mergeCell ref="A1:F13"/>
  </mergeCells>
  <pageMargins left="0.7" right="0.7" top="0.75" bottom="0.75" header="0.3" footer="0.3"/>
  <pageSetup paperSize="9" orientation="portrait" r:id="rId1"/>
  <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17</vt:i4>
      </vt:variant>
    </vt:vector>
  </HeadingPairs>
  <TitlesOfParts>
    <vt:vector size="17" baseType="lpstr">
      <vt:lpstr>Balance de Masa Global</vt:lpstr>
      <vt:lpstr>Flowsheet</vt:lpstr>
      <vt:lpstr>Cloración</vt:lpstr>
      <vt:lpstr>Canaleta de Parshall </vt:lpstr>
      <vt:lpstr>Floculación</vt:lpstr>
      <vt:lpstr>Sedimentador</vt:lpstr>
      <vt:lpstr>Filtro lecho</vt:lpstr>
      <vt:lpstr>Reactor Batch 1</vt:lpstr>
      <vt:lpstr>Filtro prensa</vt:lpstr>
      <vt:lpstr>Cocción</vt:lpstr>
      <vt:lpstr>IC_1</vt:lpstr>
      <vt:lpstr>Whirlpool</vt:lpstr>
      <vt:lpstr>IC_2</vt:lpstr>
      <vt:lpstr>Caldera</vt:lpstr>
      <vt:lpstr>Fermentador</vt:lpstr>
      <vt:lpstr>Secador rotatorio</vt:lpstr>
      <vt:lpstr>Maduración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Alumnos</cp:lastModifiedBy>
  <dcterms:created xsi:type="dcterms:W3CDTF">2018-11-12T23:11:22Z</dcterms:created>
  <dcterms:modified xsi:type="dcterms:W3CDTF">2018-12-13T20:26:52Z</dcterms:modified>
</cp:coreProperties>
</file>