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pedrofranz/Documents/Universidad/2016 OTOÑO/IN3301 Auxiliar Evaluación de Proyectos/Auxiliares/Guía - Flujo de Caja/"/>
    </mc:Choice>
  </mc:AlternateContent>
  <bookViews>
    <workbookView xWindow="0" yWindow="460" windowWidth="28800" windowHeight="16400" tabRatio="500"/>
  </bookViews>
  <sheets>
    <sheet name="Flujo de Caja" sheetId="1" r:id="rId1"/>
    <sheet name="Crédito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0" i="1" l="1"/>
  <c r="O5" i="1"/>
  <c r="P5" i="1"/>
  <c r="Q5" i="1"/>
  <c r="R5" i="1"/>
  <c r="S5" i="1"/>
  <c r="R10" i="1"/>
  <c r="I5" i="1"/>
  <c r="R15" i="1"/>
  <c r="O16" i="1"/>
  <c r="P16" i="1"/>
  <c r="Q16" i="1"/>
  <c r="R16" i="1"/>
  <c r="R17" i="1"/>
  <c r="I6" i="1"/>
  <c r="H5" i="1"/>
  <c r="Q17" i="1"/>
  <c r="H6" i="1"/>
  <c r="O10" i="1"/>
  <c r="P10" i="1"/>
  <c r="G5" i="1"/>
  <c r="O15" i="1"/>
  <c r="P15" i="1"/>
  <c r="P17" i="1"/>
  <c r="G6" i="1"/>
  <c r="F5" i="1"/>
  <c r="O17" i="1"/>
  <c r="F6" i="1"/>
  <c r="N17" i="1"/>
  <c r="E6" i="1"/>
  <c r="D12" i="2"/>
  <c r="E8" i="1"/>
  <c r="E5" i="1"/>
  <c r="E11" i="1"/>
  <c r="E7" i="1"/>
  <c r="E12" i="1"/>
  <c r="F11" i="1"/>
  <c r="C7" i="2"/>
  <c r="F12" i="2"/>
  <c r="E12" i="2"/>
  <c r="C12" i="2"/>
  <c r="D13" i="2"/>
  <c r="F8" i="1"/>
  <c r="O22" i="1"/>
  <c r="F7" i="1"/>
  <c r="F12" i="1"/>
  <c r="G11" i="1"/>
  <c r="F13" i="2"/>
  <c r="E13" i="2"/>
  <c r="C13" i="2"/>
  <c r="D14" i="2"/>
  <c r="G8" i="1"/>
  <c r="P22" i="1"/>
  <c r="G7" i="1"/>
  <c r="G12" i="1"/>
  <c r="H11" i="1"/>
  <c r="F14" i="2"/>
  <c r="E14" i="2"/>
  <c r="C14" i="2"/>
  <c r="D15" i="2"/>
  <c r="H8" i="1"/>
  <c r="Q22" i="1"/>
  <c r="H7" i="1"/>
  <c r="H12" i="1"/>
  <c r="I11" i="1"/>
  <c r="F15" i="2"/>
  <c r="E15" i="2"/>
  <c r="C15" i="2"/>
  <c r="D16" i="2"/>
  <c r="I8" i="1"/>
  <c r="R22" i="1"/>
  <c r="I7" i="1"/>
  <c r="I12" i="1"/>
  <c r="S16" i="1"/>
  <c r="S15" i="1"/>
  <c r="N22" i="1"/>
  <c r="S10" i="1"/>
  <c r="P28" i="1"/>
  <c r="E9" i="1"/>
  <c r="F9" i="1"/>
  <c r="G9" i="1"/>
  <c r="H9" i="1"/>
  <c r="I9" i="1"/>
  <c r="J11" i="1"/>
  <c r="J5" i="1"/>
  <c r="S22" i="1"/>
  <c r="J7" i="1"/>
  <c r="S17" i="1"/>
  <c r="J6" i="1"/>
  <c r="J9" i="1"/>
  <c r="S28" i="1"/>
  <c r="S29" i="1"/>
  <c r="J12" i="1"/>
  <c r="J13" i="1"/>
  <c r="J14" i="1"/>
  <c r="I13" i="1"/>
  <c r="I14" i="1"/>
  <c r="H13" i="1"/>
  <c r="H14" i="1"/>
  <c r="G13" i="1"/>
  <c r="G14" i="1"/>
  <c r="F13" i="1"/>
  <c r="F14" i="1"/>
  <c r="E13" i="1"/>
  <c r="E14" i="1"/>
  <c r="J17" i="1"/>
  <c r="J15" i="1"/>
  <c r="J16" i="1"/>
  <c r="J19" i="1"/>
  <c r="J24" i="1"/>
  <c r="J28" i="1"/>
  <c r="J30" i="1"/>
  <c r="I17" i="1"/>
  <c r="I15" i="1"/>
  <c r="I16" i="1"/>
  <c r="I19" i="1"/>
  <c r="F16" i="2"/>
  <c r="E16" i="2"/>
  <c r="I26" i="1"/>
  <c r="I28" i="1"/>
  <c r="I30" i="1"/>
  <c r="H17" i="1"/>
  <c r="H15" i="1"/>
  <c r="H16" i="1"/>
  <c r="H19" i="1"/>
  <c r="H26" i="1"/>
  <c r="H28" i="1"/>
  <c r="H30" i="1"/>
  <c r="G17" i="1"/>
  <c r="G15" i="1"/>
  <c r="G16" i="1"/>
  <c r="G19" i="1"/>
  <c r="G26" i="1"/>
  <c r="G28" i="1"/>
  <c r="G30" i="1"/>
  <c r="F17" i="1"/>
  <c r="F15" i="1"/>
  <c r="F16" i="1"/>
  <c r="F19" i="1"/>
  <c r="F26" i="1"/>
  <c r="F28" i="1"/>
  <c r="F30" i="1"/>
  <c r="E17" i="1"/>
  <c r="E15" i="1"/>
  <c r="E16" i="1"/>
  <c r="E19" i="1"/>
  <c r="E26" i="1"/>
  <c r="E28" i="1"/>
  <c r="E30" i="1"/>
  <c r="D19" i="1"/>
  <c r="D28" i="1"/>
  <c r="D30" i="1"/>
  <c r="D25" i="1"/>
  <c r="J22" i="1"/>
  <c r="D21" i="1"/>
  <c r="N29" i="1"/>
  <c r="R29" i="1"/>
  <c r="C16" i="2"/>
  <c r="C11" i="2"/>
  <c r="S27" i="1"/>
  <c r="R28" i="1"/>
  <c r="R27" i="1"/>
  <c r="D34" i="1"/>
</calcChain>
</file>

<file path=xl/sharedStrings.xml><?xml version="1.0" encoding="utf-8"?>
<sst xmlns="http://schemas.openxmlformats.org/spreadsheetml/2006/main" count="80" uniqueCount="50">
  <si>
    <t>Ingresos</t>
  </si>
  <si>
    <t>Costos Fijos</t>
  </si>
  <si>
    <t>Costos Operacionales Variables</t>
  </si>
  <si>
    <t>Costos Operacionales Fijos</t>
  </si>
  <si>
    <t>Gastos Financieros</t>
  </si>
  <si>
    <t>Depreciación Legal</t>
  </si>
  <si>
    <t>Utilidad Antes de Impuesto</t>
  </si>
  <si>
    <t>Impuesto</t>
  </si>
  <si>
    <t>Utilidad Despues de Impuesto</t>
  </si>
  <si>
    <t>Flujo Operacional</t>
  </si>
  <si>
    <t>Inversión</t>
  </si>
  <si>
    <t>Valor Residual</t>
  </si>
  <si>
    <t>Capital de Trabajo</t>
  </si>
  <si>
    <t>Recuperación Capital de Trabajo</t>
  </si>
  <si>
    <t>Préstamo</t>
  </si>
  <si>
    <t>Amortización</t>
  </si>
  <si>
    <t>Flujo de Caja</t>
  </si>
  <si>
    <t>Signo</t>
  </si>
  <si>
    <t>+</t>
  </si>
  <si>
    <t>-</t>
  </si>
  <si>
    <t>-/+</t>
  </si>
  <si>
    <t>+/-</t>
  </si>
  <si>
    <t>Litros</t>
  </si>
  <si>
    <t>Precio</t>
  </si>
  <si>
    <t>Insumos</t>
  </si>
  <si>
    <t>Transporte</t>
  </si>
  <si>
    <t>Total</t>
  </si>
  <si>
    <t>Costos Variables (precio/L)</t>
  </si>
  <si>
    <t>Precio Venta (precio/L)</t>
  </si>
  <si>
    <t>Producción (L)</t>
  </si>
  <si>
    <t>Sueldos</t>
  </si>
  <si>
    <t>Tasa de descuento</t>
  </si>
  <si>
    <t>VAN</t>
  </si>
  <si>
    <t>Crédito</t>
  </si>
  <si>
    <t>Galpón</t>
  </si>
  <si>
    <t>Equipo</t>
  </si>
  <si>
    <t>Precio Inicial</t>
  </si>
  <si>
    <t>Años Deprec.</t>
  </si>
  <si>
    <t>Deprec. Anual</t>
  </si>
  <si>
    <t>Valor residual</t>
  </si>
  <si>
    <t>Valor libro</t>
  </si>
  <si>
    <t>Períodos</t>
  </si>
  <si>
    <t>Monto</t>
  </si>
  <si>
    <t>Interés</t>
  </si>
  <si>
    <t>Cuota</t>
  </si>
  <si>
    <t>Deuda</t>
  </si>
  <si>
    <t>Período</t>
  </si>
  <si>
    <t>Flujo de Capitales</t>
  </si>
  <si>
    <t>Pérdida/Ganacia de capital</t>
  </si>
  <si>
    <t>Pérdida del ejercicio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</si>
</sst>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&quot;$&quot;\-#,##0"/>
    <numFmt numFmtId="42" formatCode="_ &quot;$&quot;* #,##0_ ;_ &quot;$&quot;* \-#,##0_ ;_ &quot;$&quot;* &quot;-&quot;_ ;_ @_ "/>
    <numFmt numFmtId="41" formatCode="_ * #,##0_ ;_ * \-#,##0_ ;_ * &quot;-&quot;_ ;_ @_ 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u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6" fontId="0" fillId="0" borderId="2" xfId="2" applyNumberFormat="1" applyFont="1" applyBorder="1"/>
    <xf numFmtId="6" fontId="0" fillId="0" borderId="3" xfId="2" applyNumberFormat="1" applyFont="1" applyBorder="1"/>
    <xf numFmtId="6" fontId="0" fillId="0" borderId="4" xfId="2" applyNumberFormat="1" applyFont="1" applyBorder="1"/>
    <xf numFmtId="6" fontId="0" fillId="0" borderId="5" xfId="2" applyNumberFormat="1" applyFont="1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left"/>
    </xf>
    <xf numFmtId="0" fontId="0" fillId="0" borderId="16" xfId="0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quotePrefix="1" applyFont="1" applyBorder="1" applyAlignment="1">
      <alignment horizontal="center"/>
    </xf>
    <xf numFmtId="0" fontId="2" fillId="0" borderId="13" xfId="0" quotePrefix="1" applyFont="1" applyBorder="1" applyAlignment="1">
      <alignment horizontal="center"/>
    </xf>
    <xf numFmtId="6" fontId="0" fillId="0" borderId="20" xfId="2" applyNumberFormat="1" applyFont="1" applyBorder="1"/>
    <xf numFmtId="6" fontId="0" fillId="0" borderId="22" xfId="2" applyNumberFormat="1" applyFont="1" applyBorder="1"/>
    <xf numFmtId="6" fontId="0" fillId="0" borderId="23" xfId="2" applyNumberFormat="1" applyFont="1" applyBorder="1"/>
    <xf numFmtId="6" fontId="0" fillId="0" borderId="24" xfId="2" applyNumberFormat="1" applyFont="1" applyBorder="1"/>
    <xf numFmtId="0" fontId="2" fillId="0" borderId="1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5" xfId="0" quotePrefix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27" xfId="0" applyBorder="1"/>
    <xf numFmtId="6" fontId="0" fillId="0" borderId="28" xfId="2" applyNumberFormat="1" applyFont="1" applyBorder="1"/>
    <xf numFmtId="6" fontId="0" fillId="0" borderId="29" xfId="2" applyNumberFormat="1" applyFont="1" applyBorder="1"/>
    <xf numFmtId="0" fontId="2" fillId="0" borderId="26" xfId="0" quotePrefix="1" applyFont="1" applyBorder="1" applyAlignment="1">
      <alignment horizontal="center"/>
    </xf>
    <xf numFmtId="0" fontId="2" fillId="0" borderId="16" xfId="0" quotePrefix="1" applyFont="1" applyBorder="1" applyAlignment="1">
      <alignment horizontal="center"/>
    </xf>
    <xf numFmtId="6" fontId="0" fillId="0" borderId="19" xfId="2" applyNumberFormat="1" applyFont="1" applyBorder="1"/>
    <xf numFmtId="6" fontId="0" fillId="0" borderId="1" xfId="2" applyNumberFormat="1" applyFont="1" applyBorder="1"/>
    <xf numFmtId="0" fontId="2" fillId="0" borderId="16" xfId="0" applyFont="1" applyBorder="1" applyAlignment="1">
      <alignment horizontal="center"/>
    </xf>
    <xf numFmtId="42" fontId="0" fillId="0" borderId="28" xfId="2" applyNumberFormat="1" applyFont="1" applyBorder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28" xfId="0" applyBorder="1"/>
    <xf numFmtId="1" fontId="0" fillId="0" borderId="28" xfId="0" applyNumberFormat="1" applyBorder="1"/>
    <xf numFmtId="41" fontId="0" fillId="0" borderId="28" xfId="1" applyFont="1" applyBorder="1"/>
    <xf numFmtId="41" fontId="0" fillId="0" borderId="28" xfId="0" applyNumberFormat="1" applyBorder="1"/>
    <xf numFmtId="1" fontId="0" fillId="0" borderId="28" xfId="1" applyNumberFormat="1" applyFont="1" applyBorder="1"/>
    <xf numFmtId="6" fontId="0" fillId="0" borderId="28" xfId="0" applyNumberFormat="1" applyBorder="1"/>
    <xf numFmtId="0" fontId="0" fillId="0" borderId="28" xfId="0" applyBorder="1" applyAlignment="1">
      <alignment horizontal="center"/>
    </xf>
    <xf numFmtId="41" fontId="0" fillId="0" borderId="21" xfId="1" applyFont="1" applyBorder="1"/>
    <xf numFmtId="0" fontId="0" fillId="0" borderId="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/>
    <xf numFmtId="0" fontId="0" fillId="0" borderId="32" xfId="0" applyBorder="1"/>
    <xf numFmtId="9" fontId="0" fillId="0" borderId="32" xfId="3" applyFont="1" applyBorder="1"/>
    <xf numFmtId="0" fontId="0" fillId="0" borderId="33" xfId="0" applyBorder="1"/>
    <xf numFmtId="1" fontId="0" fillId="0" borderId="34" xfId="0" applyNumberFormat="1" applyBorder="1"/>
    <xf numFmtId="0" fontId="0" fillId="0" borderId="9" xfId="0" applyBorder="1" applyAlignment="1">
      <alignment horizontal="center"/>
    </xf>
    <xf numFmtId="41" fontId="0" fillId="0" borderId="35" xfId="1" applyFont="1" applyBorder="1"/>
    <xf numFmtId="0" fontId="0" fillId="0" borderId="27" xfId="0" applyBorder="1" applyAlignment="1">
      <alignment horizontal="center"/>
    </xf>
    <xf numFmtId="41" fontId="0" fillId="0" borderId="32" xfId="1" applyFont="1" applyBorder="1"/>
    <xf numFmtId="0" fontId="0" fillId="0" borderId="33" xfId="0" applyBorder="1" applyAlignment="1">
      <alignment horizontal="center"/>
    </xf>
    <xf numFmtId="41" fontId="0" fillId="0" borderId="36" xfId="1" applyFont="1" applyBorder="1"/>
    <xf numFmtId="41" fontId="0" fillId="0" borderId="34" xfId="1" applyFont="1" applyBorder="1"/>
    <xf numFmtId="0" fontId="0" fillId="0" borderId="28" xfId="0" applyFill="1" applyBorder="1"/>
    <xf numFmtId="6" fontId="0" fillId="0" borderId="36" xfId="2" applyNumberFormat="1" applyFont="1" applyBorder="1"/>
    <xf numFmtId="1" fontId="0" fillId="0" borderId="36" xfId="1" applyNumberFormat="1" applyFont="1" applyBorder="1"/>
  </cellXfs>
  <cellStyles count="4">
    <cellStyle name="Millares [0]" xfId="1" builtinId="6"/>
    <cellStyle name="Moneda [0]" xfId="2" builtinId="7"/>
    <cellStyle name="Normal" xfId="0" builtinId="0"/>
    <cellStyle name="Porcentaje" xfId="3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4"/>
  <sheetViews>
    <sheetView showGridLines="0" tabSelected="1" workbookViewId="0"/>
  </sheetViews>
  <sheetFormatPr baseColWidth="10" defaultRowHeight="16" x14ac:dyDescent="0.2"/>
  <cols>
    <col min="2" max="2" width="6.33203125" customWidth="1"/>
    <col min="3" max="3" width="28" bestFit="1" customWidth="1"/>
    <col min="4" max="4" width="13.33203125" bestFit="1" customWidth="1"/>
    <col min="5" max="5" width="12" customWidth="1"/>
    <col min="6" max="7" width="12" bestFit="1" customWidth="1"/>
    <col min="8" max="10" width="13" bestFit="1" customWidth="1"/>
    <col min="12" max="12" width="4.6640625" customWidth="1"/>
    <col min="13" max="13" width="14.6640625" bestFit="1" customWidth="1"/>
    <col min="14" max="14" width="12.33203125" bestFit="1" customWidth="1"/>
    <col min="15" max="15" width="12" bestFit="1" customWidth="1"/>
    <col min="16" max="16" width="12.6640625" bestFit="1" customWidth="1"/>
    <col min="17" max="17" width="12" bestFit="1" customWidth="1"/>
    <col min="18" max="18" width="12.5" bestFit="1" customWidth="1"/>
    <col min="19" max="19" width="12.33203125" bestFit="1" customWidth="1"/>
  </cols>
  <sheetData>
    <row r="2" spans="1:19" x14ac:dyDescent="0.2">
      <c r="C2" s="34" t="s">
        <v>16</v>
      </c>
      <c r="M2" s="35" t="s">
        <v>29</v>
      </c>
    </row>
    <row r="3" spans="1:19" ht="17" thickBot="1" x14ac:dyDescent="0.25"/>
    <row r="4" spans="1:19" x14ac:dyDescent="0.2">
      <c r="B4" s="11" t="s">
        <v>17</v>
      </c>
      <c r="C4" s="5"/>
      <c r="D4" s="19">
        <v>0</v>
      </c>
      <c r="E4" s="19">
        <v>1</v>
      </c>
      <c r="F4" s="19">
        <v>2</v>
      </c>
      <c r="G4" s="19">
        <v>3</v>
      </c>
      <c r="H4" s="19">
        <v>4</v>
      </c>
      <c r="I4" s="19">
        <v>5</v>
      </c>
      <c r="J4" s="20">
        <v>6</v>
      </c>
      <c r="M4" s="36"/>
      <c r="N4" s="36">
        <v>1</v>
      </c>
      <c r="O4" s="36">
        <v>2</v>
      </c>
      <c r="P4" s="36">
        <v>3</v>
      </c>
      <c r="Q4" s="36">
        <v>4</v>
      </c>
      <c r="R4" s="36">
        <v>5</v>
      </c>
      <c r="S4" s="36">
        <v>6</v>
      </c>
    </row>
    <row r="5" spans="1:19" x14ac:dyDescent="0.2">
      <c r="B5" s="24" t="s">
        <v>18</v>
      </c>
      <c r="C5" s="25" t="s">
        <v>0</v>
      </c>
      <c r="D5" s="26"/>
      <c r="E5" s="26">
        <f>N5*N10</f>
        <v>56000000</v>
      </c>
      <c r="F5" s="26">
        <f t="shared" ref="F5:J5" si="0">O5*O10</f>
        <v>64399999.999999993</v>
      </c>
      <c r="G5" s="26">
        <f t="shared" si="0"/>
        <v>74059999.999999985</v>
      </c>
      <c r="H5" s="26">
        <f t="shared" si="0"/>
        <v>106461249.99999997</v>
      </c>
      <c r="I5" s="26">
        <f t="shared" si="0"/>
        <v>122430437.49999996</v>
      </c>
      <c r="J5" s="27">
        <f t="shared" si="0"/>
        <v>140795003.12499994</v>
      </c>
      <c r="M5" s="36" t="s">
        <v>22</v>
      </c>
      <c r="N5" s="36">
        <v>28000</v>
      </c>
      <c r="O5" s="36">
        <f>N5*1.15</f>
        <v>32199.999999999996</v>
      </c>
      <c r="P5" s="36">
        <f>O5*1.15</f>
        <v>37029.999999999993</v>
      </c>
      <c r="Q5" s="37">
        <f>P5*1.15</f>
        <v>42584.499999999985</v>
      </c>
      <c r="R5" s="37">
        <f>Q5*1.15</f>
        <v>48972.174999999981</v>
      </c>
      <c r="S5" s="37">
        <f>R5*1.15</f>
        <v>56318.001249999972</v>
      </c>
    </row>
    <row r="6" spans="1:19" x14ac:dyDescent="0.2">
      <c r="B6" s="24" t="s">
        <v>19</v>
      </c>
      <c r="C6" s="25" t="s">
        <v>2</v>
      </c>
      <c r="D6" s="26"/>
      <c r="E6" s="26">
        <f>-N5*N17</f>
        <v>-25200000</v>
      </c>
      <c r="F6" s="26">
        <f t="shared" ref="F6:J6" si="1">-O5*O17</f>
        <v>-28979999.999999996</v>
      </c>
      <c r="G6" s="26">
        <f t="shared" si="1"/>
        <v>-33326999.999999993</v>
      </c>
      <c r="H6" s="26">
        <f t="shared" si="1"/>
        <v>-34067599.999999985</v>
      </c>
      <c r="I6" s="26">
        <f t="shared" si="1"/>
        <v>-39177739.999999985</v>
      </c>
      <c r="J6" s="27">
        <f t="shared" si="1"/>
        <v>-45054400.999999978</v>
      </c>
    </row>
    <row r="7" spans="1:19" x14ac:dyDescent="0.2">
      <c r="B7" s="24" t="s">
        <v>19</v>
      </c>
      <c r="C7" s="25" t="s">
        <v>3</v>
      </c>
      <c r="D7" s="26"/>
      <c r="E7" s="26">
        <f>-N22</f>
        <v>-15000000</v>
      </c>
      <c r="F7" s="26">
        <f t="shared" ref="F7:J7" si="2">-O22</f>
        <v>-15000000</v>
      </c>
      <c r="G7" s="26">
        <f t="shared" si="2"/>
        <v>-15000000</v>
      </c>
      <c r="H7" s="26">
        <f t="shared" si="2"/>
        <v>-15000000</v>
      </c>
      <c r="I7" s="26">
        <f t="shared" si="2"/>
        <v>-15000000</v>
      </c>
      <c r="J7" s="27">
        <f t="shared" si="2"/>
        <v>-15000000</v>
      </c>
      <c r="M7" s="35" t="s">
        <v>28</v>
      </c>
    </row>
    <row r="8" spans="1:19" x14ac:dyDescent="0.2">
      <c r="B8" s="24" t="s">
        <v>19</v>
      </c>
      <c r="C8" s="25" t="s">
        <v>4</v>
      </c>
      <c r="D8" s="26"/>
      <c r="E8" s="26">
        <f>-Crédito!D12</f>
        <v>-13000000</v>
      </c>
      <c r="F8" s="26">
        <f>-Crédito!D13</f>
        <v>-10993910.936382947</v>
      </c>
      <c r="G8" s="26">
        <f>-Crédito!D14</f>
        <v>-8727030.2944956757</v>
      </c>
      <c r="H8" s="26">
        <f>-Crédito!D15</f>
        <v>-6165455.1691630604</v>
      </c>
      <c r="I8" s="26">
        <f>-Crédito!D16</f>
        <v>-3270875.2775372029</v>
      </c>
      <c r="J8" s="27"/>
    </row>
    <row r="9" spans="1:19" x14ac:dyDescent="0.2">
      <c r="B9" s="24" t="s">
        <v>19</v>
      </c>
      <c r="C9" s="25" t="s">
        <v>5</v>
      </c>
      <c r="D9" s="26"/>
      <c r="E9" s="26">
        <f>-$P$28</f>
        <v>-6250000</v>
      </c>
      <c r="F9" s="26">
        <f t="shared" ref="F9:J9" si="3">-$P$28</f>
        <v>-6250000</v>
      </c>
      <c r="G9" s="26">
        <f t="shared" si="3"/>
        <v>-6250000</v>
      </c>
      <c r="H9" s="26">
        <f t="shared" si="3"/>
        <v>-6250000</v>
      </c>
      <c r="I9" s="26">
        <f t="shared" si="3"/>
        <v>-6250000</v>
      </c>
      <c r="J9" s="27">
        <f t="shared" si="3"/>
        <v>-6250000</v>
      </c>
      <c r="M9" s="36"/>
      <c r="N9" s="36">
        <v>1</v>
      </c>
      <c r="O9" s="36">
        <v>2</v>
      </c>
      <c r="P9" s="36">
        <v>3</v>
      </c>
      <c r="Q9" s="36">
        <v>4</v>
      </c>
      <c r="R9" s="36">
        <v>5</v>
      </c>
      <c r="S9" s="36">
        <v>6</v>
      </c>
    </row>
    <row r="10" spans="1:19" x14ac:dyDescent="0.2">
      <c r="B10" s="28" t="s">
        <v>20</v>
      </c>
      <c r="C10" s="25" t="s">
        <v>48</v>
      </c>
      <c r="D10" s="26"/>
      <c r="E10" s="26"/>
      <c r="F10" s="26"/>
      <c r="G10" s="26"/>
      <c r="H10" s="26"/>
      <c r="I10" s="26"/>
      <c r="J10" s="27">
        <f>R29-S29</f>
        <v>32500000</v>
      </c>
      <c r="M10" s="36" t="s">
        <v>23</v>
      </c>
      <c r="N10" s="36">
        <v>2000</v>
      </c>
      <c r="O10" s="36">
        <f>N10</f>
        <v>2000</v>
      </c>
      <c r="P10" s="36">
        <f>O10</f>
        <v>2000</v>
      </c>
      <c r="Q10" s="36">
        <v>2500</v>
      </c>
      <c r="R10" s="36">
        <f>Q10</f>
        <v>2500</v>
      </c>
      <c r="S10" s="36">
        <f>R10</f>
        <v>2500</v>
      </c>
    </row>
    <row r="11" spans="1:19" ht="17" thickBot="1" x14ac:dyDescent="0.25">
      <c r="B11" s="21" t="s">
        <v>19</v>
      </c>
      <c r="C11" s="9" t="s">
        <v>49</v>
      </c>
      <c r="D11" s="18"/>
      <c r="E11" s="18">
        <f>IF(D12&lt;0,D12,0)</f>
        <v>0</v>
      </c>
      <c r="F11" s="18">
        <f t="shared" ref="F11:J11" si="4">IF(E12&lt;0,E12,0)</f>
        <v>-3450000</v>
      </c>
      <c r="G11" s="18">
        <f t="shared" si="4"/>
        <v>-273910.93638294749</v>
      </c>
      <c r="H11" s="18">
        <f t="shared" si="4"/>
        <v>0</v>
      </c>
      <c r="I11" s="18">
        <f t="shared" si="4"/>
        <v>0</v>
      </c>
      <c r="J11" s="4">
        <f t="shared" si="4"/>
        <v>0</v>
      </c>
    </row>
    <row r="12" spans="1:19" x14ac:dyDescent="0.2">
      <c r="B12" s="29" t="s">
        <v>21</v>
      </c>
      <c r="C12" s="5" t="s">
        <v>6</v>
      </c>
      <c r="D12" s="30"/>
      <c r="E12" s="30">
        <f>SUM(E5:E11)</f>
        <v>-3450000</v>
      </c>
      <c r="F12" s="30">
        <f t="shared" ref="F12:J12" si="5">SUM(F5:F11)</f>
        <v>-273910.93638294749</v>
      </c>
      <c r="G12" s="30">
        <f t="shared" si="5"/>
        <v>10482058.769121369</v>
      </c>
      <c r="H12" s="30">
        <f t="shared" si="5"/>
        <v>44978194.830836922</v>
      </c>
      <c r="I12" s="30">
        <f>SUM(I5:I11)</f>
        <v>58731822.222462766</v>
      </c>
      <c r="J12" s="31">
        <f t="shared" si="5"/>
        <v>106990602.12499997</v>
      </c>
      <c r="M12" s="35" t="s">
        <v>27</v>
      </c>
    </row>
    <row r="13" spans="1:19" x14ac:dyDescent="0.2">
      <c r="A13" s="10">
        <v>0.27</v>
      </c>
      <c r="B13" s="24" t="s">
        <v>19</v>
      </c>
      <c r="C13" s="25" t="s">
        <v>7</v>
      </c>
      <c r="D13" s="26"/>
      <c r="E13" s="26">
        <f>IF(E12&gt;0,-E12*$A$13,0)</f>
        <v>0</v>
      </c>
      <c r="F13" s="26">
        <f t="shared" ref="F13:J13" si="6">IF(F12&gt;0,-F12*$A$13,0)</f>
        <v>0</v>
      </c>
      <c r="G13" s="26">
        <f t="shared" si="6"/>
        <v>-2830155.8676627697</v>
      </c>
      <c r="H13" s="26">
        <f t="shared" si="6"/>
        <v>-12144112.604325971</v>
      </c>
      <c r="I13" s="26">
        <f t="shared" si="6"/>
        <v>-15857592.000064949</v>
      </c>
      <c r="J13" s="27">
        <f t="shared" si="6"/>
        <v>-28887462.573749993</v>
      </c>
    </row>
    <row r="14" spans="1:19" ht="17" thickBot="1" x14ac:dyDescent="0.25">
      <c r="B14" s="22" t="s">
        <v>21</v>
      </c>
      <c r="C14" s="9" t="s">
        <v>8</v>
      </c>
      <c r="D14" s="18"/>
      <c r="E14" s="18">
        <f>E13+E12</f>
        <v>-3450000</v>
      </c>
      <c r="F14" s="18">
        <f t="shared" ref="F14:J14" si="7">F13+F12</f>
        <v>-273910.93638294749</v>
      </c>
      <c r="G14" s="18">
        <f t="shared" si="7"/>
        <v>7651902.9014585996</v>
      </c>
      <c r="H14" s="18">
        <f t="shared" si="7"/>
        <v>32834082.226510949</v>
      </c>
      <c r="I14" s="18">
        <f t="shared" si="7"/>
        <v>42874230.222397819</v>
      </c>
      <c r="J14" s="4">
        <f t="shared" si="7"/>
        <v>78103139.551249981</v>
      </c>
      <c r="M14" s="36"/>
      <c r="N14" s="36">
        <v>1</v>
      </c>
      <c r="O14" s="36">
        <v>2</v>
      </c>
      <c r="P14" s="36">
        <v>3</v>
      </c>
      <c r="Q14" s="36">
        <v>4</v>
      </c>
      <c r="R14" s="36">
        <v>5</v>
      </c>
      <c r="S14" s="36">
        <v>6</v>
      </c>
    </row>
    <row r="15" spans="1:19" x14ac:dyDescent="0.2">
      <c r="B15" s="32" t="s">
        <v>18</v>
      </c>
      <c r="C15" s="5" t="s">
        <v>5</v>
      </c>
      <c r="D15" s="30"/>
      <c r="E15" s="30">
        <f>-E9</f>
        <v>6250000</v>
      </c>
      <c r="F15" s="30">
        <f t="shared" ref="F15:J15" si="8">-F9</f>
        <v>6250000</v>
      </c>
      <c r="G15" s="30">
        <f t="shared" si="8"/>
        <v>6250000</v>
      </c>
      <c r="H15" s="30">
        <f t="shared" si="8"/>
        <v>6250000</v>
      </c>
      <c r="I15" s="30">
        <f t="shared" si="8"/>
        <v>6250000</v>
      </c>
      <c r="J15" s="31">
        <f t="shared" si="8"/>
        <v>6250000</v>
      </c>
      <c r="M15" s="36" t="s">
        <v>24</v>
      </c>
      <c r="N15" s="36">
        <v>700</v>
      </c>
      <c r="O15" s="36">
        <f>N15</f>
        <v>700</v>
      </c>
      <c r="P15" s="36">
        <f>O15</f>
        <v>700</v>
      </c>
      <c r="Q15" s="36">
        <v>600</v>
      </c>
      <c r="R15" s="36">
        <f>Q15</f>
        <v>600</v>
      </c>
      <c r="S15" s="36">
        <f>R15</f>
        <v>600</v>
      </c>
    </row>
    <row r="16" spans="1:19" x14ac:dyDescent="0.2">
      <c r="B16" s="28" t="s">
        <v>21</v>
      </c>
      <c r="C16" s="25" t="s">
        <v>48</v>
      </c>
      <c r="D16" s="26"/>
      <c r="E16" s="26">
        <f>-E10</f>
        <v>0</v>
      </c>
      <c r="F16" s="26">
        <f t="shared" ref="F16:J16" si="9">-F10</f>
        <v>0</v>
      </c>
      <c r="G16" s="26">
        <f t="shared" si="9"/>
        <v>0</v>
      </c>
      <c r="H16" s="26">
        <f t="shared" si="9"/>
        <v>0</v>
      </c>
      <c r="I16" s="26">
        <f t="shared" si="9"/>
        <v>0</v>
      </c>
      <c r="J16" s="27">
        <f t="shared" si="9"/>
        <v>-32500000</v>
      </c>
      <c r="M16" s="36" t="s">
        <v>25</v>
      </c>
      <c r="N16" s="36">
        <v>200</v>
      </c>
      <c r="O16" s="36">
        <f>N16</f>
        <v>200</v>
      </c>
      <c r="P16" s="36">
        <f>O16</f>
        <v>200</v>
      </c>
      <c r="Q16" s="36">
        <f>P16</f>
        <v>200</v>
      </c>
      <c r="R16" s="36">
        <f>Q16</f>
        <v>200</v>
      </c>
      <c r="S16" s="36">
        <f>R16</f>
        <v>200</v>
      </c>
    </row>
    <row r="17" spans="2:19" ht="17" thickBot="1" x14ac:dyDescent="0.25">
      <c r="B17" s="21" t="s">
        <v>18</v>
      </c>
      <c r="C17" s="9" t="s">
        <v>49</v>
      </c>
      <c r="D17" s="18"/>
      <c r="E17" s="18">
        <f>-E11</f>
        <v>0</v>
      </c>
      <c r="F17" s="18">
        <f t="shared" ref="F17:J17" si="10">-F11</f>
        <v>3450000</v>
      </c>
      <c r="G17" s="18">
        <f t="shared" si="10"/>
        <v>273910.93638294749</v>
      </c>
      <c r="H17" s="18">
        <f t="shared" si="10"/>
        <v>0</v>
      </c>
      <c r="I17" s="18">
        <f t="shared" si="10"/>
        <v>0</v>
      </c>
      <c r="J17" s="4">
        <f t="shared" si="10"/>
        <v>0</v>
      </c>
      <c r="M17" s="36" t="s">
        <v>26</v>
      </c>
      <c r="N17" s="36">
        <f>SUM(N15:N16)</f>
        <v>900</v>
      </c>
      <c r="O17" s="36">
        <f t="shared" ref="O17:S17" si="11">SUM(O15:O16)</f>
        <v>900</v>
      </c>
      <c r="P17" s="36">
        <f t="shared" si="11"/>
        <v>900</v>
      </c>
      <c r="Q17" s="36">
        <f t="shared" si="11"/>
        <v>800</v>
      </c>
      <c r="R17" s="36">
        <f t="shared" si="11"/>
        <v>800</v>
      </c>
      <c r="S17" s="36">
        <f t="shared" si="11"/>
        <v>800</v>
      </c>
    </row>
    <row r="18" spans="2:19" ht="16" customHeight="1" x14ac:dyDescent="0.2">
      <c r="B18" s="12"/>
      <c r="C18" s="6"/>
      <c r="D18" s="15"/>
      <c r="E18" s="15"/>
      <c r="F18" s="15"/>
      <c r="G18" s="15"/>
      <c r="H18" s="15"/>
      <c r="I18" s="15"/>
      <c r="J18" s="1"/>
    </row>
    <row r="19" spans="2:19" ht="17" thickBot="1" x14ac:dyDescent="0.25">
      <c r="B19" s="13" t="s">
        <v>21</v>
      </c>
      <c r="C19" s="7" t="s">
        <v>9</v>
      </c>
      <c r="D19" s="16">
        <f>SUM(D14:D17)</f>
        <v>0</v>
      </c>
      <c r="E19" s="16">
        <f t="shared" ref="E19:J19" si="12">SUM(E14:E17)</f>
        <v>2800000</v>
      </c>
      <c r="F19" s="16">
        <f t="shared" si="12"/>
        <v>9426089.0636170525</v>
      </c>
      <c r="G19" s="16">
        <f t="shared" si="12"/>
        <v>14175813.837841546</v>
      </c>
      <c r="H19" s="16">
        <f t="shared" si="12"/>
        <v>39084082.226510949</v>
      </c>
      <c r="I19" s="16">
        <f t="shared" si="12"/>
        <v>49124230.222397819</v>
      </c>
      <c r="J19" s="2">
        <f t="shared" si="12"/>
        <v>51853139.551249981</v>
      </c>
      <c r="M19" s="35" t="s">
        <v>1</v>
      </c>
    </row>
    <row r="20" spans="2:19" ht="16" customHeight="1" thickTop="1" thickBot="1" x14ac:dyDescent="0.25">
      <c r="B20" s="23"/>
      <c r="C20" s="8"/>
      <c r="D20" s="17"/>
      <c r="E20" s="17"/>
      <c r="F20" s="17"/>
      <c r="G20" s="17"/>
      <c r="H20" s="17"/>
      <c r="I20" s="17"/>
      <c r="J20" s="3"/>
    </row>
    <row r="21" spans="2:19" x14ac:dyDescent="0.2">
      <c r="B21" s="32" t="s">
        <v>19</v>
      </c>
      <c r="C21" s="5" t="s">
        <v>10</v>
      </c>
      <c r="D21" s="30">
        <f>-N29</f>
        <v>-200000000</v>
      </c>
      <c r="E21" s="30"/>
      <c r="F21" s="30"/>
      <c r="G21" s="30"/>
      <c r="H21" s="30"/>
      <c r="I21" s="30"/>
      <c r="J21" s="31"/>
      <c r="M21" s="36"/>
      <c r="N21" s="36">
        <v>1</v>
      </c>
      <c r="O21" s="36">
        <v>2</v>
      </c>
      <c r="P21" s="36">
        <v>3</v>
      </c>
      <c r="Q21" s="36">
        <v>4</v>
      </c>
      <c r="R21" s="36">
        <v>5</v>
      </c>
      <c r="S21" s="36">
        <v>6</v>
      </c>
    </row>
    <row r="22" spans="2:19" x14ac:dyDescent="0.2">
      <c r="B22" s="24" t="s">
        <v>18</v>
      </c>
      <c r="C22" s="25" t="s">
        <v>11</v>
      </c>
      <c r="D22" s="26"/>
      <c r="E22" s="26"/>
      <c r="F22" s="26"/>
      <c r="G22" s="26"/>
      <c r="H22" s="26"/>
      <c r="I22" s="26"/>
      <c r="J22" s="27">
        <f>R29</f>
        <v>195000000</v>
      </c>
      <c r="M22" s="36" t="s">
        <v>30</v>
      </c>
      <c r="N22" s="40">
        <f>5*250000*12</f>
        <v>15000000</v>
      </c>
      <c r="O22" s="37">
        <f>N22</f>
        <v>15000000</v>
      </c>
      <c r="P22" s="36">
        <f t="shared" ref="P22:S22" si="13">O22</f>
        <v>15000000</v>
      </c>
      <c r="Q22" s="36">
        <f t="shared" si="13"/>
        <v>15000000</v>
      </c>
      <c r="R22" s="36">
        <f t="shared" si="13"/>
        <v>15000000</v>
      </c>
      <c r="S22" s="36">
        <f t="shared" si="13"/>
        <v>15000000</v>
      </c>
    </row>
    <row r="23" spans="2:19" x14ac:dyDescent="0.2">
      <c r="B23" s="24" t="s">
        <v>19</v>
      </c>
      <c r="C23" s="25" t="s">
        <v>12</v>
      </c>
      <c r="D23" s="26">
        <v>-20000000</v>
      </c>
      <c r="E23" s="26"/>
      <c r="F23" s="26"/>
      <c r="G23" s="26"/>
      <c r="H23" s="26"/>
      <c r="I23" s="26"/>
      <c r="J23" s="27"/>
    </row>
    <row r="24" spans="2:19" x14ac:dyDescent="0.2">
      <c r="B24" s="24" t="s">
        <v>18</v>
      </c>
      <c r="C24" s="25" t="s">
        <v>13</v>
      </c>
      <c r="D24" s="26"/>
      <c r="E24" s="26"/>
      <c r="F24" s="26"/>
      <c r="G24" s="26"/>
      <c r="H24" s="26"/>
      <c r="I24" s="26"/>
      <c r="J24" s="27">
        <f>-D23</f>
        <v>20000000</v>
      </c>
      <c r="M24" s="35" t="s">
        <v>10</v>
      </c>
    </row>
    <row r="25" spans="2:19" x14ac:dyDescent="0.2">
      <c r="B25" s="24" t="s">
        <v>18</v>
      </c>
      <c r="C25" s="25" t="s">
        <v>14</v>
      </c>
      <c r="D25" s="33">
        <f>Crédito!C4</f>
        <v>100000000</v>
      </c>
      <c r="E25" s="26"/>
      <c r="F25" s="26"/>
      <c r="G25" s="26"/>
      <c r="H25" s="26"/>
      <c r="I25" s="26"/>
      <c r="J25" s="27"/>
    </row>
    <row r="26" spans="2:19" ht="17" thickBot="1" x14ac:dyDescent="0.25">
      <c r="B26" s="21" t="s">
        <v>19</v>
      </c>
      <c r="C26" s="9" t="s">
        <v>15</v>
      </c>
      <c r="D26" s="18"/>
      <c r="E26" s="60">
        <f>-Crédito!E12</f>
        <v>-15431454.335515805</v>
      </c>
      <c r="F26" s="60">
        <f>-Crédito!E13</f>
        <v>-17437543.399132855</v>
      </c>
      <c r="G26" s="60">
        <f>-Crédito!E14</f>
        <v>-19704424.041020129</v>
      </c>
      <c r="H26" s="60">
        <f>-Crédito!E15</f>
        <v>-22265999.166352745</v>
      </c>
      <c r="I26" s="60">
        <f>-Crédito!E16</f>
        <v>-25160579.0579786</v>
      </c>
      <c r="J26" s="4"/>
      <c r="M26" s="36"/>
      <c r="N26" s="36" t="s">
        <v>36</v>
      </c>
      <c r="O26" s="36" t="s">
        <v>37</v>
      </c>
      <c r="P26" s="36" t="s">
        <v>38</v>
      </c>
      <c r="Q26" s="36" t="s">
        <v>37</v>
      </c>
      <c r="R26" s="36" t="s">
        <v>39</v>
      </c>
      <c r="S26" s="36" t="s">
        <v>40</v>
      </c>
    </row>
    <row r="27" spans="2:19" ht="16" customHeight="1" x14ac:dyDescent="0.2">
      <c r="B27" s="12"/>
      <c r="C27" s="6"/>
      <c r="D27" s="15"/>
      <c r="E27" s="15"/>
      <c r="F27" s="15"/>
      <c r="G27" s="15"/>
      <c r="H27" s="15"/>
      <c r="I27" s="15"/>
      <c r="J27" s="1"/>
      <c r="M27" s="36" t="s">
        <v>34</v>
      </c>
      <c r="N27" s="38">
        <v>150000000</v>
      </c>
      <c r="O27" s="42" t="s">
        <v>19</v>
      </c>
      <c r="P27" s="36">
        <v>0</v>
      </c>
      <c r="Q27" s="42" t="s">
        <v>19</v>
      </c>
      <c r="R27" s="38">
        <f>1.2*N27</f>
        <v>180000000</v>
      </c>
      <c r="S27" s="38">
        <f>N27</f>
        <v>150000000</v>
      </c>
    </row>
    <row r="28" spans="2:19" ht="17" thickBot="1" x14ac:dyDescent="0.25">
      <c r="B28" s="13" t="s">
        <v>21</v>
      </c>
      <c r="C28" s="7" t="s">
        <v>47</v>
      </c>
      <c r="D28" s="16">
        <f>SUM(D21:D26)</f>
        <v>-120000000</v>
      </c>
      <c r="E28" s="16">
        <f t="shared" ref="E28:J28" si="14">SUM(E21:E26)</f>
        <v>-15431454.335515805</v>
      </c>
      <c r="F28" s="16">
        <f t="shared" si="14"/>
        <v>-17437543.399132855</v>
      </c>
      <c r="G28" s="16">
        <f t="shared" si="14"/>
        <v>-19704424.041020129</v>
      </c>
      <c r="H28" s="16">
        <f t="shared" si="14"/>
        <v>-22265999.166352745</v>
      </c>
      <c r="I28" s="16">
        <f t="shared" si="14"/>
        <v>-25160579.0579786</v>
      </c>
      <c r="J28" s="2">
        <f>SUM(J21:J26)</f>
        <v>215000000</v>
      </c>
      <c r="M28" s="36" t="s">
        <v>35</v>
      </c>
      <c r="N28" s="38">
        <v>50000000</v>
      </c>
      <c r="O28" s="42">
        <v>8</v>
      </c>
      <c r="P28" s="37">
        <f>N28/O28</f>
        <v>6250000</v>
      </c>
      <c r="Q28" s="36">
        <v>6</v>
      </c>
      <c r="R28" s="38">
        <f>0.3*N28</f>
        <v>15000000</v>
      </c>
      <c r="S28" s="38">
        <f>N28-Q28*P28</f>
        <v>12500000</v>
      </c>
    </row>
    <row r="29" spans="2:19" ht="16" customHeight="1" thickTop="1" thickBot="1" x14ac:dyDescent="0.25">
      <c r="B29" s="12"/>
      <c r="C29" s="8"/>
      <c r="D29" s="17"/>
      <c r="E29" s="17"/>
      <c r="F29" s="17"/>
      <c r="G29" s="17"/>
      <c r="H29" s="17"/>
      <c r="I29" s="17"/>
      <c r="J29" s="3"/>
      <c r="M29" s="59" t="s">
        <v>26</v>
      </c>
      <c r="N29" s="39">
        <f>SUM(N27:N28)</f>
        <v>200000000</v>
      </c>
      <c r="O29" s="36"/>
      <c r="P29" s="36"/>
      <c r="Q29" s="36"/>
      <c r="R29" s="38">
        <f>SUM(R27:R28)</f>
        <v>195000000</v>
      </c>
      <c r="S29" s="38">
        <f>SUM(S27:S28)</f>
        <v>162500000</v>
      </c>
    </row>
    <row r="30" spans="2:19" ht="17" thickBot="1" x14ac:dyDescent="0.25">
      <c r="B30" s="14" t="s">
        <v>21</v>
      </c>
      <c r="C30" s="9" t="s">
        <v>16</v>
      </c>
      <c r="D30" s="18">
        <f>D28+D19</f>
        <v>-120000000</v>
      </c>
      <c r="E30" s="18">
        <f t="shared" ref="E30:J30" si="15">E28+E19</f>
        <v>-12631454.335515805</v>
      </c>
      <c r="F30" s="18">
        <f t="shared" si="15"/>
        <v>-8011454.3355158027</v>
      </c>
      <c r="G30" s="18">
        <f t="shared" si="15"/>
        <v>-5528610.2031785827</v>
      </c>
      <c r="H30" s="18">
        <f t="shared" si="15"/>
        <v>16818083.060158204</v>
      </c>
      <c r="I30" s="18">
        <f t="shared" si="15"/>
        <v>23963651.164419219</v>
      </c>
      <c r="J30" s="4">
        <f t="shared" si="15"/>
        <v>266853139.55124998</v>
      </c>
    </row>
    <row r="33" spans="3:4" x14ac:dyDescent="0.2">
      <c r="C33" s="36" t="s">
        <v>31</v>
      </c>
      <c r="D33" s="36">
        <v>0.14000000000000001</v>
      </c>
    </row>
    <row r="34" spans="3:4" x14ac:dyDescent="0.2">
      <c r="C34" s="36" t="s">
        <v>32</v>
      </c>
      <c r="D34" s="41">
        <f>D30+NPV(D33,E30:J30)</f>
        <v>3001893.888684839</v>
      </c>
    </row>
  </sheetData>
  <pageMargins left="0.7" right="0.7" top="0.75" bottom="0.75" header="0.3" footer="0.3"/>
  <ignoredErrors>
    <ignoredError sqref="N17 O17:S1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6"/>
  <sheetViews>
    <sheetView showGridLines="0" workbookViewId="0"/>
  </sheetViews>
  <sheetFormatPr baseColWidth="10" defaultRowHeight="16" x14ac:dyDescent="0.2"/>
  <cols>
    <col min="3" max="3" width="12.1640625" bestFit="1" customWidth="1"/>
    <col min="4" max="4" width="12" bestFit="1" customWidth="1"/>
    <col min="5" max="5" width="11.83203125" bestFit="1" customWidth="1"/>
    <col min="6" max="6" width="11.1640625" bestFit="1" customWidth="1"/>
  </cols>
  <sheetData>
    <row r="2" spans="2:6" x14ac:dyDescent="0.2">
      <c r="B2" s="34" t="s">
        <v>33</v>
      </c>
    </row>
    <row r="3" spans="2:6" ht="17" thickBot="1" x14ac:dyDescent="0.25"/>
    <row r="4" spans="2:6" x14ac:dyDescent="0.2">
      <c r="B4" s="5" t="s">
        <v>42</v>
      </c>
      <c r="C4" s="47">
        <v>100000000</v>
      </c>
    </row>
    <row r="5" spans="2:6" x14ac:dyDescent="0.2">
      <c r="B5" s="25" t="s">
        <v>41</v>
      </c>
      <c r="C5" s="48">
        <v>5</v>
      </c>
    </row>
    <row r="6" spans="2:6" x14ac:dyDescent="0.2">
      <c r="B6" s="25" t="s">
        <v>43</v>
      </c>
      <c r="C6" s="49">
        <v>0.13</v>
      </c>
    </row>
    <row r="7" spans="2:6" ht="17" thickBot="1" x14ac:dyDescent="0.25">
      <c r="B7" s="50" t="s">
        <v>44</v>
      </c>
      <c r="C7" s="51">
        <f>(C4*C6*(1+C6)^C5)/((1+C6)^C5-1)</f>
        <v>28431454.335515805</v>
      </c>
    </row>
    <row r="9" spans="2:6" ht="17" thickBot="1" x14ac:dyDescent="0.25"/>
    <row r="10" spans="2:6" ht="17" thickBot="1" x14ac:dyDescent="0.25">
      <c r="B10" s="44" t="s">
        <v>46</v>
      </c>
      <c r="C10" s="45" t="s">
        <v>45</v>
      </c>
      <c r="D10" s="45" t="s">
        <v>43</v>
      </c>
      <c r="E10" s="45" t="s">
        <v>15</v>
      </c>
      <c r="F10" s="46" t="s">
        <v>44</v>
      </c>
    </row>
    <row r="11" spans="2:6" x14ac:dyDescent="0.2">
      <c r="B11" s="52">
        <v>0</v>
      </c>
      <c r="C11" s="43">
        <f>C4</f>
        <v>100000000</v>
      </c>
      <c r="D11" s="43"/>
      <c r="E11" s="43"/>
      <c r="F11" s="53"/>
    </row>
    <row r="12" spans="2:6" x14ac:dyDescent="0.2">
      <c r="B12" s="54">
        <v>1</v>
      </c>
      <c r="C12" s="38">
        <f>C11-E12</f>
        <v>84568545.664484203</v>
      </c>
      <c r="D12" s="38">
        <f>$C$6*C11</f>
        <v>13000000</v>
      </c>
      <c r="E12" s="38">
        <f>F12-D12</f>
        <v>15431454.335515805</v>
      </c>
      <c r="F12" s="55">
        <f>$C$7</f>
        <v>28431454.335515805</v>
      </c>
    </row>
    <row r="13" spans="2:6" x14ac:dyDescent="0.2">
      <c r="B13" s="54">
        <v>2</v>
      </c>
      <c r="C13" s="38">
        <f t="shared" ref="C13:C16" si="0">C12-E13</f>
        <v>67131002.265351355</v>
      </c>
      <c r="D13" s="38">
        <f t="shared" ref="D13:D16" si="1">$C$6*C12</f>
        <v>10993910.936382947</v>
      </c>
      <c r="E13" s="38">
        <f t="shared" ref="E13:E16" si="2">F13-D13</f>
        <v>17437543.399132855</v>
      </c>
      <c r="F13" s="55">
        <f t="shared" ref="F13:F16" si="3">$C$7</f>
        <v>28431454.335515805</v>
      </c>
    </row>
    <row r="14" spans="2:6" x14ac:dyDescent="0.2">
      <c r="B14" s="54">
        <v>3</v>
      </c>
      <c r="C14" s="38">
        <f t="shared" si="0"/>
        <v>47426578.22433123</v>
      </c>
      <c r="D14" s="38">
        <f t="shared" si="1"/>
        <v>8727030.2944956757</v>
      </c>
      <c r="E14" s="38">
        <f t="shared" si="2"/>
        <v>19704424.041020129</v>
      </c>
      <c r="F14" s="55">
        <f t="shared" si="3"/>
        <v>28431454.335515805</v>
      </c>
    </row>
    <row r="15" spans="2:6" x14ac:dyDescent="0.2">
      <c r="B15" s="54">
        <v>4</v>
      </c>
      <c r="C15" s="38">
        <f t="shared" si="0"/>
        <v>25160579.057978485</v>
      </c>
      <c r="D15" s="38">
        <f t="shared" si="1"/>
        <v>6165455.1691630604</v>
      </c>
      <c r="E15" s="38">
        <f t="shared" si="2"/>
        <v>22265999.166352745</v>
      </c>
      <c r="F15" s="55">
        <f t="shared" si="3"/>
        <v>28431454.335515805</v>
      </c>
    </row>
    <row r="16" spans="2:6" ht="17" thickBot="1" x14ac:dyDescent="0.25">
      <c r="B16" s="56">
        <v>5</v>
      </c>
      <c r="C16" s="61">
        <f t="shared" si="0"/>
        <v>-1.1548399925231934E-7</v>
      </c>
      <c r="D16" s="57">
        <f t="shared" si="1"/>
        <v>3270875.2775372029</v>
      </c>
      <c r="E16" s="57">
        <f t="shared" si="2"/>
        <v>25160579.0579786</v>
      </c>
      <c r="F16" s="58">
        <f t="shared" si="3"/>
        <v>28431454.335515805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Flujo de Caja</vt:lpstr>
      <vt:lpstr>Crédito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Microsoft Office</cp:lastModifiedBy>
  <dcterms:created xsi:type="dcterms:W3CDTF">2016-08-14T15:26:06Z</dcterms:created>
  <dcterms:modified xsi:type="dcterms:W3CDTF">2016-08-15T02:05:49Z</dcterms:modified>
</cp:coreProperties>
</file>