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8795" windowHeight="8700"/>
  </bookViews>
  <sheets>
    <sheet name="FC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3" i="1"/>
  <c r="D3"/>
  <c r="E3"/>
  <c r="F3"/>
  <c r="G3"/>
  <c r="J3"/>
  <c r="C4"/>
  <c r="D4"/>
  <c r="E4"/>
  <c r="F4"/>
  <c r="G4"/>
  <c r="C5"/>
  <c r="D5"/>
  <c r="F5"/>
  <c r="G5"/>
  <c r="C6"/>
  <c r="D6"/>
  <c r="E6"/>
  <c r="F6"/>
  <c r="G6"/>
  <c r="J6"/>
  <c r="D7"/>
  <c r="E7"/>
  <c r="F7"/>
  <c r="G7"/>
  <c r="J7"/>
  <c r="L7"/>
  <c r="C8"/>
  <c r="D8"/>
  <c r="E8"/>
  <c r="F8"/>
  <c r="G8"/>
  <c r="I8"/>
  <c r="J8"/>
  <c r="K8"/>
  <c r="L8"/>
  <c r="M8"/>
  <c r="G9"/>
  <c r="I9"/>
  <c r="J9"/>
  <c r="K9"/>
  <c r="L9"/>
  <c r="M9"/>
  <c r="D10"/>
  <c r="E10"/>
  <c r="F10"/>
  <c r="G10"/>
  <c r="I10"/>
  <c r="J10"/>
  <c r="K10"/>
  <c r="L10"/>
  <c r="M10"/>
  <c r="C11"/>
  <c r="D11"/>
  <c r="E11"/>
  <c r="F11"/>
  <c r="G11"/>
  <c r="J11"/>
  <c r="K11"/>
  <c r="L11"/>
  <c r="M11"/>
  <c r="D12"/>
  <c r="F12"/>
  <c r="G12"/>
  <c r="C13"/>
  <c r="D13"/>
  <c r="E13"/>
  <c r="F13"/>
  <c r="G13"/>
  <c r="C14"/>
  <c r="D14"/>
  <c r="E14"/>
  <c r="F14"/>
  <c r="G14"/>
  <c r="C15"/>
  <c r="D15"/>
  <c r="E15"/>
  <c r="F15"/>
  <c r="G15"/>
  <c r="C16"/>
  <c r="D16"/>
  <c r="E16"/>
  <c r="F16"/>
  <c r="G16"/>
  <c r="C17"/>
  <c r="D17"/>
  <c r="E17"/>
  <c r="F17"/>
  <c r="G17"/>
  <c r="B18"/>
  <c r="G19"/>
  <c r="B20"/>
  <c r="C21"/>
  <c r="B22"/>
  <c r="D22"/>
  <c r="G23"/>
  <c r="B24"/>
  <c r="D25"/>
  <c r="E25"/>
  <c r="F25"/>
  <c r="G25"/>
  <c r="B26"/>
  <c r="C26"/>
  <c r="D26"/>
  <c r="E26"/>
  <c r="F26"/>
  <c r="G26"/>
  <c r="B27"/>
  <c r="C27"/>
  <c r="D27"/>
  <c r="E27"/>
  <c r="F27"/>
  <c r="G27"/>
  <c r="B29"/>
  <c r="G35"/>
  <c r="L35"/>
  <c r="G36"/>
  <c r="H36"/>
  <c r="L36"/>
  <c r="D37"/>
  <c r="G37"/>
  <c r="H37"/>
  <c r="I37"/>
  <c r="J37"/>
  <c r="L37"/>
  <c r="B38"/>
  <c r="D38"/>
  <c r="G38"/>
  <c r="H38"/>
  <c r="I38"/>
  <c r="J38"/>
  <c r="K38"/>
  <c r="L38"/>
  <c r="B48"/>
  <c r="B49"/>
  <c r="B53"/>
  <c r="B55"/>
  <c r="B56"/>
  <c r="B57"/>
  <c r="B58"/>
  <c r="E61"/>
  <c r="F61"/>
  <c r="E62"/>
  <c r="F62"/>
  <c r="E63"/>
  <c r="F63"/>
  <c r="E64"/>
  <c r="F64"/>
  <c r="F65"/>
  <c r="F66"/>
  <c r="E67"/>
  <c r="F67"/>
  <c r="B69"/>
  <c r="E69"/>
  <c r="B70"/>
  <c r="E70"/>
  <c r="D73"/>
  <c r="B78"/>
  <c r="D78"/>
  <c r="C83"/>
  <c r="C84"/>
  <c r="B85"/>
  <c r="C88"/>
  <c r="C89"/>
  <c r="C90"/>
  <c r="C91"/>
  <c r="C92"/>
  <c r="C93"/>
  <c r="C94"/>
  <c r="B95"/>
</calcChain>
</file>

<file path=xl/sharedStrings.xml><?xml version="1.0" encoding="utf-8"?>
<sst xmlns="http://schemas.openxmlformats.org/spreadsheetml/2006/main" count="125" uniqueCount="98">
  <si>
    <t>Cuota</t>
  </si>
  <si>
    <t>Ingresos</t>
  </si>
  <si>
    <t>tasa</t>
  </si>
  <si>
    <t>Periodo</t>
  </si>
  <si>
    <t>Saldo</t>
  </si>
  <si>
    <t>Interes</t>
  </si>
  <si>
    <t>Amort.</t>
  </si>
  <si>
    <t>Intereses por creditos</t>
  </si>
  <si>
    <t>Depreciaciones Legales</t>
  </si>
  <si>
    <t>Ganancias de Capital</t>
  </si>
  <si>
    <t>Pérdidas del Ejercicio Anterior</t>
  </si>
  <si>
    <t>Utilidad Antes de Impuestos</t>
  </si>
  <si>
    <t>Impuesto de Primera Categoría (17%)</t>
  </si>
  <si>
    <t>Utilidad Después de Impuestos</t>
  </si>
  <si>
    <t>Ganancias/Pérdidas de Capital</t>
  </si>
  <si>
    <t>Flujo de Caja Operacional</t>
  </si>
  <si>
    <t xml:space="preserve">Inversión </t>
  </si>
  <si>
    <t>Valor Residual de los Activos</t>
  </si>
  <si>
    <t>IVA de la Inversion</t>
  </si>
  <si>
    <t>Rec. IVA Inversion</t>
  </si>
  <si>
    <t>Capital de Trabajo</t>
  </si>
  <si>
    <t>Recuperación del Capital de Trabajo</t>
  </si>
  <si>
    <t>Préstamos</t>
  </si>
  <si>
    <t>Amortizaciones</t>
  </si>
  <si>
    <t>Flujo de Capitales</t>
  </si>
  <si>
    <t>Flujo de Caja</t>
  </si>
  <si>
    <t>VPN</t>
  </si>
  <si>
    <t>Tasa descuento</t>
  </si>
  <si>
    <t>Prestamo</t>
  </si>
  <si>
    <t>TAREA 1</t>
  </si>
  <si>
    <t>Muebles</t>
  </si>
  <si>
    <t>PC</t>
  </si>
  <si>
    <t>Extras</t>
  </si>
  <si>
    <t>Servidor</t>
  </si>
  <si>
    <t>Precio</t>
  </si>
  <si>
    <t>Cantidad</t>
  </si>
  <si>
    <t>Gasto total</t>
  </si>
  <si>
    <t>Inicio actividades</t>
  </si>
  <si>
    <t>Recursos Humanos</t>
  </si>
  <si>
    <t>Ing. Informaticos</t>
  </si>
  <si>
    <t>Programadores</t>
  </si>
  <si>
    <t>Diseñador</t>
  </si>
  <si>
    <t>G. General</t>
  </si>
  <si>
    <t>G. Finanzas</t>
  </si>
  <si>
    <t>G. Comercial</t>
  </si>
  <si>
    <t>Precio 1</t>
  </si>
  <si>
    <t>Precio 2</t>
  </si>
  <si>
    <t>Secretaria</t>
  </si>
  <si>
    <t>Contador</t>
  </si>
  <si>
    <t>Gasto mantencion y actualizacion</t>
  </si>
  <si>
    <t>Oficina</t>
  </si>
  <si>
    <t>Servicios basicos</t>
  </si>
  <si>
    <t>RRHH</t>
  </si>
  <si>
    <t>Desarrollo Software</t>
  </si>
  <si>
    <t>internet+telefono</t>
  </si>
  <si>
    <t>Dominio .com</t>
  </si>
  <si>
    <t>Articulos de oficina</t>
  </si>
  <si>
    <t>Meses</t>
  </si>
  <si>
    <t>Google</t>
  </si>
  <si>
    <t>Facebook</t>
  </si>
  <si>
    <t>Folleteria</t>
  </si>
  <si>
    <t>Turistas</t>
  </si>
  <si>
    <t>Argentina</t>
  </si>
  <si>
    <t>Peru</t>
  </si>
  <si>
    <t>Bolivia</t>
  </si>
  <si>
    <t>USA</t>
  </si>
  <si>
    <t>España</t>
  </si>
  <si>
    <t>Francia</t>
  </si>
  <si>
    <t>Inglaterra</t>
  </si>
  <si>
    <t>%  @</t>
  </si>
  <si>
    <t>Ingreso año 1</t>
  </si>
  <si>
    <t>Tasa Crecimiento anual</t>
  </si>
  <si>
    <t>Adquisiciones</t>
  </si>
  <si>
    <t>Otros</t>
  </si>
  <si>
    <t>Inversion total</t>
  </si>
  <si>
    <t>Operación</t>
  </si>
  <si>
    <t>Vida Util</t>
  </si>
  <si>
    <t>TOTAL</t>
  </si>
  <si>
    <t>Deprecia1</t>
  </si>
  <si>
    <t>Deprecia2</t>
  </si>
  <si>
    <t>Deprecia3</t>
  </si>
  <si>
    <t>Fuentes:</t>
  </si>
  <si>
    <t>http://www.sii.cl/pagina/valores/bienes/tabla_vida_enero.htm</t>
  </si>
  <si>
    <t>Precio 0</t>
  </si>
  <si>
    <t>Arriendo oficina 6 meses</t>
  </si>
  <si>
    <t>Inspectores</t>
  </si>
  <si>
    <t>Precio 3</t>
  </si>
  <si>
    <t>Publicidad</t>
  </si>
  <si>
    <t>Costo</t>
  </si>
  <si>
    <t>Unidades</t>
  </si>
  <si>
    <t>Precio0</t>
  </si>
  <si>
    <t>Deprecia4</t>
  </si>
  <si>
    <t>Deprecia5</t>
  </si>
  <si>
    <t>Potenciales</t>
  </si>
  <si>
    <t>Inversion sin IVA</t>
  </si>
  <si>
    <t>Suma</t>
  </si>
  <si>
    <t>IVA</t>
  </si>
  <si>
    <t>Valor Resid.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</si>
</sst>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Border="1"/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3" fillId="0" borderId="4" xfId="0" applyFont="1" applyBorder="1" applyAlignment="1">
      <alignment horizontal="justify" vertical="top" wrapText="1"/>
    </xf>
    <xf numFmtId="3" fontId="0" fillId="0" borderId="5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0" fontId="2" fillId="2" borderId="7" xfId="0" applyFont="1" applyFill="1" applyBorder="1" applyAlignment="1">
      <alignment horizontal="left"/>
    </xf>
    <xf numFmtId="0" fontId="3" fillId="0" borderId="8" xfId="0" applyFont="1" applyBorder="1" applyAlignment="1">
      <alignment horizontal="justify" vertical="top" wrapText="1"/>
    </xf>
    <xf numFmtId="3" fontId="0" fillId="0" borderId="0" xfId="0" applyNumberFormat="1" applyBorder="1" applyAlignment="1">
      <alignment horizontal="right"/>
    </xf>
    <xf numFmtId="3" fontId="0" fillId="0" borderId="9" xfId="0" applyNumberFormat="1" applyBorder="1" applyAlignment="1">
      <alignment horizontal="right"/>
    </xf>
    <xf numFmtId="0" fontId="0" fillId="0" borderId="8" xfId="0" applyBorder="1"/>
    <xf numFmtId="0" fontId="0" fillId="0" borderId="4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12" xfId="0" applyNumberForma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0" fontId="3" fillId="0" borderId="14" xfId="0" applyFont="1" applyBorder="1" applyAlignment="1">
      <alignment horizontal="justify" vertical="top" wrapText="1"/>
    </xf>
    <xf numFmtId="0" fontId="2" fillId="3" borderId="8" xfId="0" applyFont="1" applyFill="1" applyBorder="1" applyAlignment="1">
      <alignment horizontal="justify" vertical="top" wrapText="1"/>
    </xf>
    <xf numFmtId="0" fontId="2" fillId="2" borderId="11" xfId="0" applyFont="1" applyFill="1" applyBorder="1" applyAlignment="1">
      <alignment horizontal="justify" vertical="top" wrapText="1"/>
    </xf>
    <xf numFmtId="3" fontId="2" fillId="2" borderId="7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0" fontId="0" fillId="0" borderId="0" xfId="0" applyBorder="1"/>
    <xf numFmtId="164" fontId="0" fillId="0" borderId="0" xfId="0" applyNumberFormat="1"/>
    <xf numFmtId="0" fontId="2" fillId="0" borderId="3" xfId="0" applyFont="1" applyBorder="1"/>
    <xf numFmtId="3" fontId="2" fillId="2" borderId="6" xfId="0" applyNumberFormat="1" applyFont="1" applyFill="1" applyBorder="1"/>
    <xf numFmtId="0" fontId="2" fillId="0" borderId="7" xfId="0" applyFont="1" applyBorder="1"/>
    <xf numFmtId="10" fontId="2" fillId="2" borderId="13" xfId="1" applyNumberFormat="1" applyFont="1" applyFill="1" applyBorder="1"/>
    <xf numFmtId="0" fontId="2" fillId="2" borderId="10" xfId="0" applyFont="1" applyFill="1" applyBorder="1" applyAlignment="1">
      <alignment horizontal="left"/>
    </xf>
    <xf numFmtId="3" fontId="0" fillId="0" borderId="0" xfId="0" applyNumberFormat="1"/>
    <xf numFmtId="0" fontId="0" fillId="0" borderId="2" xfId="0" applyBorder="1"/>
    <xf numFmtId="3" fontId="0" fillId="0" borderId="0" xfId="0" applyNumberFormat="1" applyAlignment="1">
      <alignment horizontal="center"/>
    </xf>
    <xf numFmtId="3" fontId="0" fillId="0" borderId="2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0" fillId="0" borderId="15" xfId="0" applyNumberFormat="1" applyBorder="1" applyAlignment="1">
      <alignment horizontal="right"/>
    </xf>
    <xf numFmtId="3" fontId="2" fillId="3" borderId="10" xfId="0" applyNumberFormat="1" applyFont="1" applyFill="1" applyBorder="1" applyAlignment="1">
      <alignment horizontal="right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/>
    <xf numFmtId="0" fontId="0" fillId="0" borderId="0" xfId="0" applyFill="1" applyBorder="1"/>
    <xf numFmtId="9" fontId="0" fillId="0" borderId="0" xfId="0" applyNumberFormat="1" applyAlignment="1">
      <alignment horizontal="center"/>
    </xf>
    <xf numFmtId="3" fontId="0" fillId="0" borderId="6" xfId="0" applyNumberFormat="1" applyBorder="1"/>
    <xf numFmtId="3" fontId="0" fillId="0" borderId="9" xfId="0" applyNumberFormat="1" applyBorder="1"/>
    <xf numFmtId="3" fontId="2" fillId="2" borderId="2" xfId="0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165" fontId="0" fillId="0" borderId="13" xfId="1" applyNumberFormat="1" applyFont="1" applyBorder="1"/>
    <xf numFmtId="3" fontId="0" fillId="0" borderId="12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" xfId="0" applyFont="1" applyBorder="1"/>
    <xf numFmtId="0" fontId="2" fillId="0" borderId="16" xfId="0" applyFont="1" applyBorder="1" applyAlignment="1">
      <alignment horizontal="center"/>
    </xf>
    <xf numFmtId="0" fontId="0" fillId="0" borderId="10" xfId="0" applyBorder="1"/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0" fillId="0" borderId="1" xfId="0" applyBorder="1"/>
    <xf numFmtId="3" fontId="0" fillId="0" borderId="16" xfId="0" applyNumberFormat="1" applyBorder="1" applyAlignment="1">
      <alignment horizontal="center"/>
    </xf>
    <xf numFmtId="0" fontId="1" fillId="0" borderId="10" xfId="0" applyFont="1" applyBorder="1"/>
    <xf numFmtId="0" fontId="0" fillId="0" borderId="16" xfId="0" applyBorder="1"/>
    <xf numFmtId="3" fontId="0" fillId="0" borderId="17" xfId="0" applyNumberFormat="1" applyBorder="1" applyAlignment="1">
      <alignment horizontal="right"/>
    </xf>
    <xf numFmtId="3" fontId="2" fillId="3" borderId="9" xfId="0" applyNumberFormat="1" applyFont="1" applyFill="1" applyBorder="1" applyAlignment="1">
      <alignment horizontal="right"/>
    </xf>
    <xf numFmtId="3" fontId="2" fillId="2" borderId="13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horizontal="justify" vertical="top" wrapText="1"/>
    </xf>
    <xf numFmtId="3" fontId="3" fillId="0" borderId="4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justify" vertical="top" wrapText="1"/>
    </xf>
    <xf numFmtId="3" fontId="3" fillId="0" borderId="8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horizontal="justify" vertical="top" wrapText="1"/>
    </xf>
    <xf numFmtId="3" fontId="3" fillId="0" borderId="11" xfId="0" applyNumberFormat="1" applyFont="1" applyFill="1" applyBorder="1" applyAlignment="1">
      <alignment horizontal="right"/>
    </xf>
    <xf numFmtId="9" fontId="0" fillId="0" borderId="9" xfId="1" applyFont="1" applyBorder="1" applyAlignment="1">
      <alignment horizontal="center"/>
    </xf>
    <xf numFmtId="0" fontId="2" fillId="2" borderId="16" xfId="0" applyFont="1" applyFill="1" applyBorder="1" applyAlignment="1">
      <alignment horizontal="right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99"/>
  <sheetViews>
    <sheetView showGridLines="0" tabSelected="1" zoomScale="85" workbookViewId="0">
      <selection activeCell="J22" sqref="J22"/>
    </sheetView>
  </sheetViews>
  <sheetFormatPr baseColWidth="10" defaultRowHeight="12.75"/>
  <cols>
    <col min="1" max="1" width="32.5703125" bestFit="1" customWidth="1"/>
    <col min="2" max="6" width="12.42578125" customWidth="1"/>
    <col min="7" max="9" width="12.5703125" customWidth="1"/>
    <col min="10" max="10" width="11.85546875" bestFit="1" customWidth="1"/>
    <col min="11" max="11" width="11.140625" customWidth="1"/>
    <col min="12" max="12" width="12.28515625" customWidth="1"/>
    <col min="13" max="13" width="11.140625" customWidth="1"/>
  </cols>
  <sheetData>
    <row r="2" spans="1:13">
      <c r="A2" s="1" t="s">
        <v>29</v>
      </c>
      <c r="B2" s="2">
        <v>0</v>
      </c>
      <c r="C2" s="3">
        <v>1</v>
      </c>
      <c r="D2" s="3">
        <v>2</v>
      </c>
      <c r="E2" s="3">
        <v>3</v>
      </c>
      <c r="F2" s="3">
        <v>4</v>
      </c>
      <c r="G2" s="73">
        <v>5</v>
      </c>
      <c r="I2" s="4" t="s">
        <v>28</v>
      </c>
      <c r="J2" s="44">
        <v>30000000</v>
      </c>
      <c r="K2" s="33"/>
      <c r="L2" s="33"/>
      <c r="M2" s="33"/>
    </row>
    <row r="3" spans="1:13">
      <c r="A3" s="5" t="s">
        <v>1</v>
      </c>
      <c r="B3" s="14"/>
      <c r="C3" s="6">
        <f>$B$95*POWER(1+$B$96,C2-1)</f>
        <v>122898000</v>
      </c>
      <c r="D3" s="6">
        <f>$B$95*POWER(1+$B$96,D2-1)</f>
        <v>137645760</v>
      </c>
      <c r="E3" s="6">
        <f>$B$95*POWER(1+$B$96,E2-1)</f>
        <v>154163251.20000002</v>
      </c>
      <c r="F3" s="6">
        <f>$B$95*POWER(1+$B$96,F2-1)</f>
        <v>172662841.34400004</v>
      </c>
      <c r="G3" s="7">
        <f>$B$95*POWER(1+$B$96,G2-1)</f>
        <v>193382382.30528006</v>
      </c>
      <c r="I3" s="32" t="s">
        <v>0</v>
      </c>
      <c r="J3" s="45">
        <f>-PMT(J4,4,J7)</f>
        <v>9782234.0643108692</v>
      </c>
      <c r="K3" s="33"/>
      <c r="L3" s="33"/>
      <c r="M3" s="33"/>
    </row>
    <row r="4" spans="1:13">
      <c r="A4" s="9" t="s">
        <v>52</v>
      </c>
      <c r="B4" s="16"/>
      <c r="C4" s="10">
        <f>-B70</f>
        <v>-93672000</v>
      </c>
      <c r="D4" s="10">
        <f>C4</f>
        <v>-93672000</v>
      </c>
      <c r="E4" s="10">
        <f>-E70</f>
        <v>-105432000</v>
      </c>
      <c r="F4" s="10">
        <f>-E70</f>
        <v>-105432000</v>
      </c>
      <c r="G4" s="11">
        <f>F4</f>
        <v>-105432000</v>
      </c>
      <c r="I4" s="8" t="s">
        <v>2</v>
      </c>
      <c r="J4" s="48">
        <v>0.08</v>
      </c>
      <c r="K4" s="33"/>
      <c r="L4" s="33"/>
      <c r="M4" s="33"/>
    </row>
    <row r="5" spans="1:13">
      <c r="A5" s="9" t="s">
        <v>75</v>
      </c>
      <c r="B5" s="16"/>
      <c r="C5" s="10">
        <f>-B78</f>
        <v>-7980000</v>
      </c>
      <c r="D5" s="10">
        <f>C5</f>
        <v>-7980000</v>
      </c>
      <c r="E5" s="10">
        <v>-31800000</v>
      </c>
      <c r="F5" s="10">
        <f>E5</f>
        <v>-31800000</v>
      </c>
      <c r="G5" s="11">
        <f>F5</f>
        <v>-31800000</v>
      </c>
      <c r="I5" s="2" t="s">
        <v>3</v>
      </c>
      <c r="J5" s="46" t="s">
        <v>4</v>
      </c>
      <c r="K5" s="46" t="s">
        <v>0</v>
      </c>
      <c r="L5" s="46" t="s">
        <v>5</v>
      </c>
      <c r="M5" s="47" t="s">
        <v>6</v>
      </c>
    </row>
    <row r="6" spans="1:13">
      <c r="A6" s="9" t="s">
        <v>87</v>
      </c>
      <c r="B6" s="16"/>
      <c r="C6" s="10">
        <f>-B85</f>
        <v>-17712000</v>
      </c>
      <c r="D6" s="10">
        <f>C6</f>
        <v>-17712000</v>
      </c>
      <c r="E6" s="10">
        <f>D6</f>
        <v>-17712000</v>
      </c>
      <c r="F6" s="10">
        <f>E6</f>
        <v>-17712000</v>
      </c>
      <c r="G6" s="11">
        <f>F6</f>
        <v>-17712000</v>
      </c>
      <c r="I6" s="13">
        <v>0</v>
      </c>
      <c r="J6" s="14">
        <f>J2</f>
        <v>30000000</v>
      </c>
      <c r="K6" s="6"/>
      <c r="L6" s="6"/>
      <c r="M6" s="7"/>
    </row>
    <row r="7" spans="1:13">
      <c r="A7" s="12" t="s">
        <v>7</v>
      </c>
      <c r="B7" s="16"/>
      <c r="C7" s="10">
        <v>-2400000</v>
      </c>
      <c r="D7" s="10">
        <f>-L8</f>
        <v>-2592000</v>
      </c>
      <c r="E7" s="10">
        <f>-L9</f>
        <v>-2016781.2748551304</v>
      </c>
      <c r="F7" s="10">
        <f>-L10</f>
        <v>-1395545.0516986714</v>
      </c>
      <c r="G7" s="11">
        <f>-L11</f>
        <v>-724609.93068969552</v>
      </c>
      <c r="I7" s="15">
        <v>1</v>
      </c>
      <c r="J7" s="16">
        <f>J6+L7</f>
        <v>32400000</v>
      </c>
      <c r="K7" s="10">
        <v>0</v>
      </c>
      <c r="L7" s="10">
        <f>J4*J6</f>
        <v>2400000</v>
      </c>
      <c r="M7" s="11">
        <v>0</v>
      </c>
    </row>
    <row r="8" spans="1:13">
      <c r="A8" s="9" t="s">
        <v>8</v>
      </c>
      <c r="B8" s="16"/>
      <c r="C8" s="10">
        <f>-G38</f>
        <v>-2039000</v>
      </c>
      <c r="D8" s="10">
        <f>-H38</f>
        <v>-539000</v>
      </c>
      <c r="E8" s="10">
        <f>-I38</f>
        <v>-394500</v>
      </c>
      <c r="F8" s="10">
        <f>-J38</f>
        <v>-394500</v>
      </c>
      <c r="G8" s="11">
        <f>-K38</f>
        <v>0</v>
      </c>
      <c r="I8" s="15">
        <f>1+I7</f>
        <v>2</v>
      </c>
      <c r="J8" s="16">
        <f>J7-M8</f>
        <v>25209765.935689129</v>
      </c>
      <c r="K8" s="10">
        <f>J3</f>
        <v>9782234.0643108692</v>
      </c>
      <c r="L8" s="10">
        <f>$J$4*J7</f>
        <v>2592000</v>
      </c>
      <c r="M8" s="11">
        <f>K8-L8</f>
        <v>7190234.0643108692</v>
      </c>
    </row>
    <row r="9" spans="1:13">
      <c r="A9" s="9" t="s">
        <v>9</v>
      </c>
      <c r="B9" s="16"/>
      <c r="C9" s="10"/>
      <c r="D9" s="10"/>
      <c r="E9" s="10"/>
      <c r="F9" s="10"/>
      <c r="G9" s="11">
        <f>+L38</f>
        <v>336700</v>
      </c>
      <c r="I9" s="15">
        <f>1+I8</f>
        <v>3</v>
      </c>
      <c r="J9" s="16">
        <f>J8-M9</f>
        <v>17444313.146233391</v>
      </c>
      <c r="K9" s="10">
        <f>K8</f>
        <v>9782234.0643108692</v>
      </c>
      <c r="L9" s="10">
        <f>$J$4*J8</f>
        <v>2016781.2748551304</v>
      </c>
      <c r="M9" s="11">
        <f>K9-L9</f>
        <v>7765452.7894557388</v>
      </c>
    </row>
    <row r="10" spans="1:13">
      <c r="A10" s="9" t="s">
        <v>10</v>
      </c>
      <c r="B10" s="16"/>
      <c r="C10" s="10"/>
      <c r="D10" s="10">
        <f>IF(C11&lt;0,C11,0)</f>
        <v>-905000</v>
      </c>
      <c r="E10" s="10">
        <f>IF(D11&lt;0,D11,0)</f>
        <v>0</v>
      </c>
      <c r="F10" s="10">
        <f>IF(E11&lt;0,E11,0)</f>
        <v>-3192030.0748551125</v>
      </c>
      <c r="G10" s="11">
        <f>IF(F11&lt;0,F11,0)</f>
        <v>0</v>
      </c>
      <c r="I10" s="15">
        <f>1+I9</f>
        <v>4</v>
      </c>
      <c r="J10" s="16">
        <f>J9-M10</f>
        <v>9057624.1336211935</v>
      </c>
      <c r="K10" s="10">
        <f>K9</f>
        <v>9782234.0643108692</v>
      </c>
      <c r="L10" s="10">
        <f>$J$4*J9</f>
        <v>1395545.0516986714</v>
      </c>
      <c r="M10" s="11">
        <f>K10-L10</f>
        <v>8386689.0126121975</v>
      </c>
    </row>
    <row r="11" spans="1:13">
      <c r="A11" s="9" t="s">
        <v>11</v>
      </c>
      <c r="B11" s="16"/>
      <c r="C11" s="10">
        <f>SUM(C3:C10)</f>
        <v>-905000</v>
      </c>
      <c r="D11" s="10">
        <f>SUM(D3:D10)</f>
        <v>14245760</v>
      </c>
      <c r="E11" s="10">
        <f>SUM(E3:E10)</f>
        <v>-3192030.0748551125</v>
      </c>
      <c r="F11" s="10">
        <f>SUM(F3:F10)</f>
        <v>12736766.217446256</v>
      </c>
      <c r="G11" s="11">
        <f>SUM(G3:G10)</f>
        <v>38050472.374590367</v>
      </c>
      <c r="I11" s="17">
        <v>5</v>
      </c>
      <c r="J11" s="18">
        <f>J10-M11</f>
        <v>2.0489096641540527E-8</v>
      </c>
      <c r="K11" s="19">
        <f>K10</f>
        <v>9782234.0643108692</v>
      </c>
      <c r="L11" s="19">
        <f>$J$4*J10</f>
        <v>724609.93068969552</v>
      </c>
      <c r="M11" s="20">
        <f>K11-L11</f>
        <v>9057624.133621173</v>
      </c>
    </row>
    <row r="12" spans="1:13" ht="12" customHeight="1">
      <c r="A12" s="21" t="s">
        <v>12</v>
      </c>
      <c r="B12" s="38"/>
      <c r="C12" s="63">
        <v>0</v>
      </c>
      <c r="D12" s="63">
        <f>-17%*D11</f>
        <v>-2421779.2000000002</v>
      </c>
      <c r="E12" s="63">
        <v>0</v>
      </c>
      <c r="F12" s="63">
        <f>-17%*F11</f>
        <v>-2165250.2569658635</v>
      </c>
      <c r="G12" s="63">
        <f>-17%*G11</f>
        <v>-6468580.3036803631</v>
      </c>
    </row>
    <row r="13" spans="1:13">
      <c r="A13" s="9" t="s">
        <v>13</v>
      </c>
      <c r="B13" s="16"/>
      <c r="C13" s="10">
        <f>C11+C12</f>
        <v>-905000</v>
      </c>
      <c r="D13" s="10">
        <f>D11+D12</f>
        <v>11823980.800000001</v>
      </c>
      <c r="E13" s="10">
        <f>E11+E12</f>
        <v>-3192030.0748551125</v>
      </c>
      <c r="F13" s="10">
        <f>F11+F12</f>
        <v>10571515.960480392</v>
      </c>
      <c r="G13" s="11">
        <f>G11+G12</f>
        <v>31581892.070910003</v>
      </c>
    </row>
    <row r="14" spans="1:13">
      <c r="A14" s="9" t="s">
        <v>8</v>
      </c>
      <c r="B14" s="16"/>
      <c r="C14" s="10">
        <f>-C8</f>
        <v>2039000</v>
      </c>
      <c r="D14" s="10">
        <f>-D8</f>
        <v>539000</v>
      </c>
      <c r="E14" s="10">
        <f>-E8</f>
        <v>394500</v>
      </c>
      <c r="F14" s="10">
        <f>-F8</f>
        <v>394500</v>
      </c>
      <c r="G14" s="11">
        <f>-G8</f>
        <v>0</v>
      </c>
    </row>
    <row r="15" spans="1:13">
      <c r="A15" s="9" t="s">
        <v>10</v>
      </c>
      <c r="B15" s="16"/>
      <c r="C15" s="10">
        <f>-C10</f>
        <v>0</v>
      </c>
      <c r="D15" s="10">
        <f>-D10</f>
        <v>905000</v>
      </c>
      <c r="E15" s="10">
        <f>-E10</f>
        <v>0</v>
      </c>
      <c r="F15" s="10">
        <f>-F10</f>
        <v>3192030.0748551125</v>
      </c>
      <c r="G15" s="11">
        <f>-G10</f>
        <v>0</v>
      </c>
    </row>
    <row r="16" spans="1:13">
      <c r="A16" s="9" t="s">
        <v>14</v>
      </c>
      <c r="B16" s="16"/>
      <c r="C16" s="10">
        <f>-C9</f>
        <v>0</v>
      </c>
      <c r="D16" s="10">
        <f>-D9</f>
        <v>0</v>
      </c>
      <c r="E16" s="10">
        <f>-E9</f>
        <v>0</v>
      </c>
      <c r="F16" s="10">
        <f>-F9</f>
        <v>0</v>
      </c>
      <c r="G16" s="11">
        <f>-G9</f>
        <v>-336700</v>
      </c>
    </row>
    <row r="17" spans="1:10">
      <c r="A17" s="22" t="s">
        <v>15</v>
      </c>
      <c r="B17" s="39"/>
      <c r="C17" s="40">
        <f>SUM(C13:C16)</f>
        <v>1134000</v>
      </c>
      <c r="D17" s="40">
        <f>SUM(D13:D16)</f>
        <v>13267980.800000001</v>
      </c>
      <c r="E17" s="40">
        <f>SUM(E13:E16)</f>
        <v>-2797530.0748551125</v>
      </c>
      <c r="F17" s="40">
        <f>SUM(F13:F16)</f>
        <v>14158046.035335504</v>
      </c>
      <c r="G17" s="64">
        <f>SUM(G13:G16)</f>
        <v>31245192.070910003</v>
      </c>
    </row>
    <row r="18" spans="1:10">
      <c r="A18" s="9" t="s">
        <v>16</v>
      </c>
      <c r="B18" s="16">
        <f>-B56</f>
        <v>-32544630</v>
      </c>
      <c r="C18" s="10"/>
      <c r="D18" s="10"/>
      <c r="E18" s="10"/>
      <c r="F18" s="10"/>
      <c r="G18" s="11"/>
    </row>
    <row r="19" spans="1:10">
      <c r="A19" s="9" t="s">
        <v>17</v>
      </c>
      <c r="B19" s="16"/>
      <c r="C19" s="10"/>
      <c r="D19" s="10"/>
      <c r="E19" s="10"/>
      <c r="F19" s="10"/>
      <c r="G19" s="11">
        <f>+L38</f>
        <v>336700</v>
      </c>
    </row>
    <row r="20" spans="1:10">
      <c r="A20" s="9" t="s">
        <v>18</v>
      </c>
      <c r="B20" s="16">
        <f>-B57</f>
        <v>-764370</v>
      </c>
      <c r="C20" s="10"/>
      <c r="D20" s="10"/>
      <c r="E20" s="10"/>
      <c r="F20" s="10"/>
      <c r="G20" s="11"/>
    </row>
    <row r="21" spans="1:10">
      <c r="A21" s="9" t="s">
        <v>19</v>
      </c>
      <c r="B21" s="16"/>
      <c r="C21" s="10">
        <f>+B57</f>
        <v>764370</v>
      </c>
      <c r="D21" s="10"/>
      <c r="E21" s="10"/>
      <c r="F21" s="10"/>
      <c r="G21" s="11"/>
    </row>
    <row r="22" spans="1:10">
      <c r="A22" s="9" t="s">
        <v>20</v>
      </c>
      <c r="B22" s="16">
        <f>SUM(C4:C6)/12</f>
        <v>-9947000</v>
      </c>
      <c r="C22" s="10"/>
      <c r="D22" s="10">
        <f>(SUM(E4:E6)/12)-B22</f>
        <v>-2965000</v>
      </c>
      <c r="E22" s="10"/>
      <c r="F22" s="10"/>
      <c r="G22" s="11"/>
      <c r="J22" s="33"/>
    </row>
    <row r="23" spans="1:10">
      <c r="A23" s="9" t="s">
        <v>21</v>
      </c>
      <c r="B23" s="16"/>
      <c r="C23" s="10"/>
      <c r="D23" s="10"/>
      <c r="E23" s="10"/>
      <c r="F23" s="10"/>
      <c r="G23" s="11">
        <f>-D22-B22</f>
        <v>12912000</v>
      </c>
    </row>
    <row r="24" spans="1:10">
      <c r="A24" s="9" t="s">
        <v>22</v>
      </c>
      <c r="B24" s="16">
        <f>+J2</f>
        <v>30000000</v>
      </c>
      <c r="C24" s="10"/>
      <c r="D24" s="10"/>
      <c r="E24" s="10"/>
      <c r="F24" s="10"/>
      <c r="G24" s="11"/>
    </row>
    <row r="25" spans="1:10">
      <c r="A25" s="9" t="s">
        <v>23</v>
      </c>
      <c r="B25" s="16"/>
      <c r="C25" s="10"/>
      <c r="D25" s="10">
        <f>-M8</f>
        <v>-7190234.0643108692</v>
      </c>
      <c r="E25" s="10">
        <f>-M9</f>
        <v>-7765452.7894557388</v>
      </c>
      <c r="F25" s="10">
        <f>-M10</f>
        <v>-8386689.0126121975</v>
      </c>
      <c r="G25" s="11">
        <f>-M11</f>
        <v>-9057624.133621173</v>
      </c>
    </row>
    <row r="26" spans="1:10">
      <c r="A26" s="22" t="s">
        <v>24</v>
      </c>
      <c r="B26" s="39">
        <f t="shared" ref="B26:G26" si="0">SUM(B18:B25)</f>
        <v>-13256000</v>
      </c>
      <c r="C26" s="40">
        <f t="shared" si="0"/>
        <v>764370</v>
      </c>
      <c r="D26" s="40">
        <f t="shared" si="0"/>
        <v>-10155234.064310869</v>
      </c>
      <c r="E26" s="40">
        <f t="shared" si="0"/>
        <v>-7765452.7894557388</v>
      </c>
      <c r="F26" s="40">
        <f t="shared" si="0"/>
        <v>-8386689.0126121975</v>
      </c>
      <c r="G26" s="64">
        <f t="shared" si="0"/>
        <v>4191075.866378827</v>
      </c>
    </row>
    <row r="27" spans="1:10">
      <c r="A27" s="23" t="s">
        <v>25</v>
      </c>
      <c r="B27" s="24">
        <f t="shared" ref="B27:G27" si="1">B26+B17</f>
        <v>-13256000</v>
      </c>
      <c r="C27" s="25">
        <f t="shared" si="1"/>
        <v>1898370</v>
      </c>
      <c r="D27" s="25">
        <f t="shared" si="1"/>
        <v>3112746.7356891315</v>
      </c>
      <c r="E27" s="25">
        <f t="shared" si="1"/>
        <v>-10562982.864310851</v>
      </c>
      <c r="F27" s="25">
        <f t="shared" si="1"/>
        <v>5771357.022723306</v>
      </c>
      <c r="G27" s="65">
        <f t="shared" si="1"/>
        <v>35436267.937288828</v>
      </c>
    </row>
    <row r="28" spans="1:10">
      <c r="A28" s="26"/>
      <c r="B28" s="27"/>
      <c r="C28" s="27"/>
      <c r="D28" s="27"/>
      <c r="E28" s="27"/>
      <c r="F28" s="27"/>
      <c r="G28" s="27"/>
    </row>
    <row r="29" spans="1:10">
      <c r="A29" s="28" t="s">
        <v>26</v>
      </c>
      <c r="B29" s="29">
        <f>B27+NPV(B30,C27:G27)</f>
        <v>7177205.1124629751</v>
      </c>
      <c r="C29" s="27"/>
      <c r="D29" s="27"/>
      <c r="E29" s="27"/>
      <c r="F29" s="27"/>
      <c r="G29" s="27"/>
    </row>
    <row r="30" spans="1:10">
      <c r="A30" s="30" t="s">
        <v>27</v>
      </c>
      <c r="B30" s="31">
        <v>0.12</v>
      </c>
      <c r="C30" s="27"/>
      <c r="D30" s="27"/>
      <c r="E30" s="27"/>
      <c r="F30" s="27"/>
      <c r="G30" s="27"/>
    </row>
    <row r="34" spans="1:12">
      <c r="A34" s="53" t="s">
        <v>72</v>
      </c>
      <c r="B34" s="37" t="s">
        <v>90</v>
      </c>
      <c r="C34" s="37" t="s">
        <v>35</v>
      </c>
      <c r="D34" s="51" t="s">
        <v>46</v>
      </c>
      <c r="E34" s="37" t="s">
        <v>35</v>
      </c>
      <c r="F34" s="37" t="s">
        <v>76</v>
      </c>
      <c r="G34" s="37" t="s">
        <v>78</v>
      </c>
      <c r="H34" s="37" t="s">
        <v>79</v>
      </c>
      <c r="I34" s="37" t="s">
        <v>80</v>
      </c>
      <c r="J34" s="37" t="s">
        <v>91</v>
      </c>
      <c r="K34" s="37" t="s">
        <v>92</v>
      </c>
      <c r="L34" s="54" t="s">
        <v>97</v>
      </c>
    </row>
    <row r="35" spans="1:12">
      <c r="A35" s="55" t="s">
        <v>30</v>
      </c>
      <c r="B35" s="50">
        <v>1500000</v>
      </c>
      <c r="C35" s="50">
        <v>1</v>
      </c>
      <c r="D35" s="26"/>
      <c r="E35" s="56"/>
      <c r="F35" s="26">
        <v>1</v>
      </c>
      <c r="G35" s="50">
        <f>B35/F35</f>
        <v>1500000</v>
      </c>
      <c r="H35" s="56">
        <v>0</v>
      </c>
      <c r="I35" s="56">
        <v>0</v>
      </c>
      <c r="J35" s="56">
        <v>0</v>
      </c>
      <c r="K35" s="56">
        <v>0</v>
      </c>
      <c r="L35" s="58">
        <f>10%*(B35+D35)</f>
        <v>150000</v>
      </c>
    </row>
    <row r="36" spans="1:12">
      <c r="A36" s="55" t="s">
        <v>31</v>
      </c>
      <c r="B36" s="50">
        <v>289000</v>
      </c>
      <c r="C36" s="50">
        <v>6</v>
      </c>
      <c r="D36" s="26"/>
      <c r="E36" s="56"/>
      <c r="F36" s="26">
        <v>2</v>
      </c>
      <c r="G36" s="50">
        <f>B36/F36</f>
        <v>144500</v>
      </c>
      <c r="H36" s="50">
        <f>G36</f>
        <v>144500</v>
      </c>
      <c r="I36" s="56">
        <v>0</v>
      </c>
      <c r="J36" s="56">
        <v>0</v>
      </c>
      <c r="K36" s="56">
        <v>0</v>
      </c>
      <c r="L36" s="58">
        <f>10%*(B36+D36)</f>
        <v>28900</v>
      </c>
    </row>
    <row r="37" spans="1:12">
      <c r="A37" s="55" t="s">
        <v>33</v>
      </c>
      <c r="B37" s="49">
        <v>789000</v>
      </c>
      <c r="C37" s="50">
        <v>1</v>
      </c>
      <c r="D37" s="50">
        <f>B37</f>
        <v>789000</v>
      </c>
      <c r="E37" s="56">
        <v>1</v>
      </c>
      <c r="F37" s="26">
        <v>2</v>
      </c>
      <c r="G37" s="50">
        <f>B37/F37</f>
        <v>394500</v>
      </c>
      <c r="H37" s="50">
        <f>G37</f>
        <v>394500</v>
      </c>
      <c r="I37" s="50">
        <f>D37/F37</f>
        <v>394500</v>
      </c>
      <c r="J37" s="50">
        <f>D37/F37</f>
        <v>394500</v>
      </c>
      <c r="K37" s="50">
        <v>0</v>
      </c>
      <c r="L37" s="58">
        <f>10%*(B37+D37)</f>
        <v>157800</v>
      </c>
    </row>
    <row r="38" spans="1:12">
      <c r="A38" s="59" t="s">
        <v>77</v>
      </c>
      <c r="B38" s="36">
        <f>SUMPRODUCT(B35:B37,C35:C37)</f>
        <v>4023000</v>
      </c>
      <c r="C38" s="36"/>
      <c r="D38" s="36">
        <f>SUMPRODUCT(D35:D37,E35:E37)</f>
        <v>789000</v>
      </c>
      <c r="E38" s="52"/>
      <c r="F38" s="34"/>
      <c r="G38" s="36">
        <f t="shared" ref="G38:L38" si="2">SUM(G35:G37)</f>
        <v>2039000</v>
      </c>
      <c r="H38" s="36">
        <f t="shared" si="2"/>
        <v>539000</v>
      </c>
      <c r="I38" s="36">
        <f t="shared" si="2"/>
        <v>394500</v>
      </c>
      <c r="J38" s="36">
        <f t="shared" si="2"/>
        <v>394500</v>
      </c>
      <c r="K38" s="36">
        <f t="shared" si="2"/>
        <v>0</v>
      </c>
      <c r="L38" s="60">
        <f t="shared" si="2"/>
        <v>336700</v>
      </c>
    </row>
    <row r="39" spans="1:12">
      <c r="B39" s="35"/>
      <c r="C39" s="35"/>
    </row>
    <row r="40" spans="1:12">
      <c r="A40" s="53" t="s">
        <v>53</v>
      </c>
      <c r="B40" s="37" t="s">
        <v>83</v>
      </c>
      <c r="C40" s="37" t="s">
        <v>35</v>
      </c>
      <c r="D40" s="54" t="s">
        <v>57</v>
      </c>
    </row>
    <row r="41" spans="1:12">
      <c r="A41" s="55" t="s">
        <v>84</v>
      </c>
      <c r="B41" s="50">
        <v>380000</v>
      </c>
      <c r="C41" s="50">
        <v>1</v>
      </c>
      <c r="D41" s="58">
        <v>6</v>
      </c>
      <c r="E41" s="33"/>
    </row>
    <row r="42" spans="1:12">
      <c r="A42" s="61" t="s">
        <v>54</v>
      </c>
      <c r="B42" s="50">
        <v>35000</v>
      </c>
      <c r="C42" s="50">
        <v>1</v>
      </c>
      <c r="D42" s="58">
        <v>6</v>
      </c>
      <c r="E42" s="33"/>
    </row>
    <row r="43" spans="1:12">
      <c r="A43" s="61" t="s">
        <v>51</v>
      </c>
      <c r="B43" s="50">
        <v>30000</v>
      </c>
      <c r="C43" s="50">
        <v>1</v>
      </c>
      <c r="D43" s="58">
        <v>6</v>
      </c>
      <c r="E43" s="33"/>
    </row>
    <row r="44" spans="1:12">
      <c r="A44" s="55" t="s">
        <v>42</v>
      </c>
      <c r="B44" s="50">
        <v>900000</v>
      </c>
      <c r="C44" s="50">
        <v>1</v>
      </c>
      <c r="D44" s="58">
        <v>6</v>
      </c>
      <c r="E44" s="33"/>
    </row>
    <row r="45" spans="1:12">
      <c r="A45" s="55" t="s">
        <v>39</v>
      </c>
      <c r="B45" s="50">
        <v>768000</v>
      </c>
      <c r="C45" s="50">
        <v>2</v>
      </c>
      <c r="D45" s="58">
        <v>6</v>
      </c>
      <c r="E45" s="33"/>
    </row>
    <row r="46" spans="1:12">
      <c r="A46" s="55" t="s">
        <v>40</v>
      </c>
      <c r="B46" s="50">
        <v>450000</v>
      </c>
      <c r="C46" s="50">
        <v>3</v>
      </c>
      <c r="D46" s="58">
        <v>6</v>
      </c>
      <c r="E46" s="33"/>
    </row>
    <row r="47" spans="1:12">
      <c r="A47" s="55" t="s">
        <v>41</v>
      </c>
      <c r="B47" s="50">
        <v>350000</v>
      </c>
      <c r="C47" s="50">
        <v>1</v>
      </c>
      <c r="D47" s="58">
        <v>6</v>
      </c>
      <c r="E47" s="33"/>
    </row>
    <row r="48" spans="1:12">
      <c r="A48" s="55" t="s">
        <v>47</v>
      </c>
      <c r="B48" s="49">
        <f>250000</f>
        <v>250000</v>
      </c>
      <c r="C48" s="50">
        <v>1</v>
      </c>
      <c r="D48" s="58">
        <v>6</v>
      </c>
      <c r="E48" s="33"/>
    </row>
    <row r="49" spans="1:7">
      <c r="A49" s="59" t="s">
        <v>77</v>
      </c>
      <c r="B49" s="36">
        <f>SUMPRODUCT(B41:B48,C41:C48,D41:D48)</f>
        <v>28986000</v>
      </c>
      <c r="C49" s="36"/>
      <c r="D49" s="62"/>
    </row>
    <row r="50" spans="1:7">
      <c r="A50" s="26"/>
      <c r="B50" s="50"/>
      <c r="C50" s="50"/>
    </row>
    <row r="51" spans="1:7">
      <c r="A51" s="53" t="s">
        <v>73</v>
      </c>
      <c r="B51" s="37" t="s">
        <v>34</v>
      </c>
      <c r="C51" s="54" t="s">
        <v>35</v>
      </c>
    </row>
    <row r="52" spans="1:7">
      <c r="A52" s="61" t="s">
        <v>37</v>
      </c>
      <c r="B52" s="49">
        <v>300000</v>
      </c>
      <c r="C52" s="58">
        <v>1</v>
      </c>
    </row>
    <row r="53" spans="1:7">
      <c r="A53" s="59" t="s">
        <v>77</v>
      </c>
      <c r="B53" s="36">
        <f>B52*C52</f>
        <v>300000</v>
      </c>
      <c r="C53" s="60"/>
    </row>
    <row r="54" spans="1:7">
      <c r="A54" s="41"/>
      <c r="B54" s="35"/>
      <c r="C54" s="35"/>
    </row>
    <row r="55" spans="1:7">
      <c r="A55" s="66" t="s">
        <v>74</v>
      </c>
      <c r="B55" s="67">
        <f>+B38+B49+B53</f>
        <v>33309000</v>
      </c>
      <c r="C55" s="50"/>
    </row>
    <row r="56" spans="1:7">
      <c r="A56" s="68" t="s">
        <v>94</v>
      </c>
      <c r="B56" s="69">
        <f>B53+B49+(1-19%)*B38</f>
        <v>32544630</v>
      </c>
      <c r="C56" s="50"/>
    </row>
    <row r="57" spans="1:7">
      <c r="A57" s="68" t="s">
        <v>96</v>
      </c>
      <c r="B57" s="69">
        <f>19%*B38</f>
        <v>764370</v>
      </c>
      <c r="C57" s="50"/>
    </row>
    <row r="58" spans="1:7">
      <c r="A58" s="70" t="s">
        <v>95</v>
      </c>
      <c r="B58" s="71">
        <f>B56+B57</f>
        <v>33309000</v>
      </c>
      <c r="C58" s="50"/>
    </row>
    <row r="60" spans="1:7">
      <c r="A60" s="53" t="s">
        <v>38</v>
      </c>
      <c r="B60" s="37" t="s">
        <v>45</v>
      </c>
      <c r="C60" s="37" t="s">
        <v>35</v>
      </c>
      <c r="D60" s="37" t="s">
        <v>57</v>
      </c>
      <c r="E60" s="37" t="s">
        <v>86</v>
      </c>
      <c r="F60" s="37" t="s">
        <v>35</v>
      </c>
      <c r="G60" s="54" t="s">
        <v>57</v>
      </c>
    </row>
    <row r="61" spans="1:7">
      <c r="A61" s="55" t="s">
        <v>42</v>
      </c>
      <c r="B61" s="50">
        <v>900000</v>
      </c>
      <c r="C61" s="56">
        <v>1</v>
      </c>
      <c r="D61" s="56">
        <v>12</v>
      </c>
      <c r="E61" s="50">
        <f>B61*1.7</f>
        <v>1530000</v>
      </c>
      <c r="F61" s="56">
        <f>C61</f>
        <v>1</v>
      </c>
      <c r="G61" s="57">
        <v>12</v>
      </c>
    </row>
    <row r="62" spans="1:7">
      <c r="A62" s="55" t="s">
        <v>39</v>
      </c>
      <c r="B62" s="50">
        <v>768000</v>
      </c>
      <c r="C62" s="56">
        <v>2</v>
      </c>
      <c r="D62" s="56">
        <v>12</v>
      </c>
      <c r="E62" s="50">
        <f t="shared" ref="E62:F64" si="3">B62</f>
        <v>768000</v>
      </c>
      <c r="F62" s="56">
        <f t="shared" si="3"/>
        <v>2</v>
      </c>
      <c r="G62" s="57">
        <v>12</v>
      </c>
    </row>
    <row r="63" spans="1:7">
      <c r="A63" s="55" t="s">
        <v>40</v>
      </c>
      <c r="B63" s="50">
        <v>450000</v>
      </c>
      <c r="C63" s="56">
        <v>3</v>
      </c>
      <c r="D63" s="56">
        <v>12</v>
      </c>
      <c r="E63" s="50">
        <f t="shared" si="3"/>
        <v>450000</v>
      </c>
      <c r="F63" s="56">
        <f t="shared" si="3"/>
        <v>3</v>
      </c>
      <c r="G63" s="57">
        <v>12</v>
      </c>
    </row>
    <row r="64" spans="1:7">
      <c r="A64" s="55" t="s">
        <v>41</v>
      </c>
      <c r="B64" s="50">
        <v>350000</v>
      </c>
      <c r="C64" s="56">
        <v>1</v>
      </c>
      <c r="D64" s="56">
        <v>12</v>
      </c>
      <c r="E64" s="50">
        <f t="shared" si="3"/>
        <v>350000</v>
      </c>
      <c r="F64" s="56">
        <f t="shared" si="3"/>
        <v>1</v>
      </c>
      <c r="G64" s="57">
        <v>12</v>
      </c>
    </row>
    <row r="65" spans="1:7">
      <c r="A65" s="55" t="s">
        <v>43</v>
      </c>
      <c r="B65" s="50">
        <v>900000</v>
      </c>
      <c r="C65" s="56">
        <v>1</v>
      </c>
      <c r="D65" s="56">
        <v>12</v>
      </c>
      <c r="E65" s="50">
        <v>900000</v>
      </c>
      <c r="F65" s="56">
        <f>C65</f>
        <v>1</v>
      </c>
      <c r="G65" s="57">
        <v>12</v>
      </c>
    </row>
    <row r="66" spans="1:7">
      <c r="A66" s="55" t="s">
        <v>44</v>
      </c>
      <c r="B66" s="50">
        <v>1500000</v>
      </c>
      <c r="C66" s="56">
        <v>1</v>
      </c>
      <c r="D66" s="56">
        <v>12</v>
      </c>
      <c r="E66" s="50">
        <v>1500000</v>
      </c>
      <c r="F66" s="56">
        <f>C66</f>
        <v>1</v>
      </c>
      <c r="G66" s="57">
        <v>12</v>
      </c>
    </row>
    <row r="67" spans="1:7">
      <c r="A67" s="55" t="s">
        <v>47</v>
      </c>
      <c r="B67" s="50">
        <v>250000</v>
      </c>
      <c r="C67" s="56">
        <v>1</v>
      </c>
      <c r="D67" s="56">
        <v>12</v>
      </c>
      <c r="E67" s="50">
        <f>B67</f>
        <v>250000</v>
      </c>
      <c r="F67" s="56">
        <f>C67</f>
        <v>1</v>
      </c>
      <c r="G67" s="57">
        <v>12</v>
      </c>
    </row>
    <row r="68" spans="1:7">
      <c r="A68" s="55" t="s">
        <v>48</v>
      </c>
      <c r="B68" s="50">
        <v>0</v>
      </c>
      <c r="C68" s="56">
        <v>0</v>
      </c>
      <c r="D68" s="56">
        <v>0</v>
      </c>
      <c r="E68" s="50">
        <v>350000</v>
      </c>
      <c r="F68" s="56">
        <v>1</v>
      </c>
      <c r="G68" s="57">
        <v>12</v>
      </c>
    </row>
    <row r="69" spans="1:7">
      <c r="A69" s="55" t="s">
        <v>85</v>
      </c>
      <c r="B69" s="50">
        <f>450000+60000</f>
        <v>510000</v>
      </c>
      <c r="C69" s="56">
        <v>4</v>
      </c>
      <c r="D69" s="56">
        <v>6</v>
      </c>
      <c r="E69" s="50">
        <f>450000+40000*1.5</f>
        <v>510000</v>
      </c>
      <c r="F69" s="56">
        <v>4</v>
      </c>
      <c r="G69" s="57">
        <v>6</v>
      </c>
    </row>
    <row r="70" spans="1:7">
      <c r="A70" s="59" t="s">
        <v>36</v>
      </c>
      <c r="B70" s="36">
        <f>SUMPRODUCT(B61:B69,C61:C69,D61:D69)</f>
        <v>93672000</v>
      </c>
      <c r="C70" s="36"/>
      <c r="D70" s="36"/>
      <c r="E70" s="36">
        <f>SUMPRODUCT(E61:E69,F61:F69,G61:G69)</f>
        <v>105432000</v>
      </c>
      <c r="F70" s="36"/>
      <c r="G70" s="60"/>
    </row>
    <row r="72" spans="1:7">
      <c r="A72" s="53" t="s">
        <v>49</v>
      </c>
      <c r="B72" s="37" t="s">
        <v>45</v>
      </c>
      <c r="C72" s="37" t="s">
        <v>57</v>
      </c>
      <c r="D72" s="37" t="s">
        <v>86</v>
      </c>
      <c r="E72" s="54" t="s">
        <v>57</v>
      </c>
    </row>
    <row r="73" spans="1:7">
      <c r="A73" s="55" t="s">
        <v>55</v>
      </c>
      <c r="B73" s="50">
        <v>20000</v>
      </c>
      <c r="C73" s="50">
        <v>12</v>
      </c>
      <c r="D73" s="50">
        <f>B73</f>
        <v>20000</v>
      </c>
      <c r="E73" s="58">
        <v>12</v>
      </c>
    </row>
    <row r="74" spans="1:7">
      <c r="A74" s="55" t="s">
        <v>50</v>
      </c>
      <c r="B74" s="50">
        <v>540000</v>
      </c>
      <c r="C74" s="50">
        <v>12</v>
      </c>
      <c r="D74" s="50">
        <v>2100000</v>
      </c>
      <c r="E74" s="58">
        <v>12</v>
      </c>
    </row>
    <row r="75" spans="1:7">
      <c r="A75" s="61" t="s">
        <v>54</v>
      </c>
      <c r="B75" s="50">
        <v>35000</v>
      </c>
      <c r="C75" s="50">
        <v>12</v>
      </c>
      <c r="D75" s="50">
        <v>320000</v>
      </c>
      <c r="E75" s="58">
        <v>12</v>
      </c>
    </row>
    <row r="76" spans="1:7">
      <c r="A76" s="61" t="s">
        <v>56</v>
      </c>
      <c r="B76" s="50">
        <v>40000</v>
      </c>
      <c r="C76" s="50">
        <v>12</v>
      </c>
      <c r="D76" s="50">
        <v>80000</v>
      </c>
      <c r="E76" s="58">
        <v>12</v>
      </c>
    </row>
    <row r="77" spans="1:7">
      <c r="A77" s="61" t="s">
        <v>51</v>
      </c>
      <c r="B77" s="50">
        <v>30000</v>
      </c>
      <c r="C77" s="50">
        <v>12</v>
      </c>
      <c r="D77" s="50">
        <v>130000</v>
      </c>
      <c r="E77" s="58">
        <v>12</v>
      </c>
    </row>
    <row r="78" spans="1:7">
      <c r="A78" s="59" t="s">
        <v>77</v>
      </c>
      <c r="B78" s="36">
        <f>SUMPRODUCT(B73:B77,C73:C77)</f>
        <v>7980000</v>
      </c>
      <c r="C78" s="36"/>
      <c r="D78" s="36">
        <f>SUMPRODUCT(D73:D77,E73:E77)</f>
        <v>31800000</v>
      </c>
      <c r="E78" s="60"/>
    </row>
    <row r="79" spans="1:7">
      <c r="A79" s="41"/>
      <c r="B79" s="35"/>
      <c r="C79" s="35"/>
      <c r="D79" s="35"/>
    </row>
    <row r="80" spans="1:7">
      <c r="A80" s="53" t="s">
        <v>87</v>
      </c>
      <c r="B80" s="37" t="s">
        <v>88</v>
      </c>
      <c r="C80" s="54" t="s">
        <v>89</v>
      </c>
    </row>
    <row r="81" spans="1:5">
      <c r="A81" s="61" t="s">
        <v>32</v>
      </c>
      <c r="B81" s="50">
        <v>70000</v>
      </c>
      <c r="C81" s="58">
        <v>12</v>
      </c>
    </row>
    <row r="82" spans="1:5">
      <c r="A82" s="61" t="s">
        <v>60</v>
      </c>
      <c r="B82" s="50">
        <v>200000</v>
      </c>
      <c r="C82" s="58">
        <v>3</v>
      </c>
    </row>
    <row r="83" spans="1:5">
      <c r="A83" s="61" t="s">
        <v>59</v>
      </c>
      <c r="B83" s="50">
        <v>70</v>
      </c>
      <c r="C83" s="58">
        <f>900*65%*265</f>
        <v>155025</v>
      </c>
    </row>
    <row r="84" spans="1:5">
      <c r="A84" s="61" t="s">
        <v>58</v>
      </c>
      <c r="B84" s="50">
        <v>55</v>
      </c>
      <c r="C84" s="58">
        <f>270*365</f>
        <v>98550</v>
      </c>
    </row>
    <row r="85" spans="1:5">
      <c r="A85" s="59" t="s">
        <v>36</v>
      </c>
      <c r="B85" s="36">
        <f>SUMPRODUCT(B81:B84,C81:C84)</f>
        <v>17712000</v>
      </c>
      <c r="C85" s="60"/>
    </row>
    <row r="87" spans="1:5">
      <c r="A87" s="53" t="s">
        <v>61</v>
      </c>
      <c r="B87" s="37" t="s">
        <v>35</v>
      </c>
      <c r="C87" s="37" t="s">
        <v>93</v>
      </c>
      <c r="D87" s="54" t="s">
        <v>69</v>
      </c>
    </row>
    <row r="88" spans="1:5">
      <c r="A88" s="55" t="s">
        <v>62</v>
      </c>
      <c r="B88" s="50">
        <v>800000</v>
      </c>
      <c r="C88" s="50">
        <f>20%*B88</f>
        <v>160000</v>
      </c>
      <c r="D88" s="72">
        <v>0.3</v>
      </c>
      <c r="E88" s="33"/>
    </row>
    <row r="89" spans="1:5">
      <c r="A89" s="55" t="s">
        <v>63</v>
      </c>
      <c r="B89" s="50">
        <v>300000</v>
      </c>
      <c r="C89" s="50">
        <f t="shared" ref="C89:C94" si="4">20%*B89</f>
        <v>60000</v>
      </c>
      <c r="D89" s="72">
        <v>0.3</v>
      </c>
      <c r="E89" s="33"/>
    </row>
    <row r="90" spans="1:5">
      <c r="A90" s="55" t="s">
        <v>64</v>
      </c>
      <c r="B90" s="50">
        <v>270000</v>
      </c>
      <c r="C90" s="50">
        <f t="shared" si="4"/>
        <v>54000</v>
      </c>
      <c r="D90" s="72">
        <v>0.3</v>
      </c>
      <c r="E90" s="33"/>
    </row>
    <row r="91" spans="1:5">
      <c r="A91" s="55" t="s">
        <v>65</v>
      </c>
      <c r="B91" s="50">
        <v>200000</v>
      </c>
      <c r="C91" s="50">
        <f t="shared" si="4"/>
        <v>40000</v>
      </c>
      <c r="D91" s="72">
        <v>0.56999999999999995</v>
      </c>
      <c r="E91" s="33"/>
    </row>
    <row r="92" spans="1:5">
      <c r="A92" s="55" t="s">
        <v>66</v>
      </c>
      <c r="B92" s="50">
        <v>56000</v>
      </c>
      <c r="C92" s="50">
        <f t="shared" si="4"/>
        <v>11200</v>
      </c>
      <c r="D92" s="72">
        <v>0.56999999999999995</v>
      </c>
      <c r="E92" s="33"/>
    </row>
    <row r="93" spans="1:5">
      <c r="A93" s="55" t="s">
        <v>67</v>
      </c>
      <c r="B93" s="50">
        <v>55000</v>
      </c>
      <c r="C93" s="50">
        <f t="shared" si="4"/>
        <v>11000</v>
      </c>
      <c r="D93" s="72">
        <v>0.56999999999999995</v>
      </c>
      <c r="E93" s="33"/>
    </row>
    <row r="94" spans="1:5">
      <c r="A94" s="55" t="s">
        <v>68</v>
      </c>
      <c r="B94" s="50">
        <v>46000</v>
      </c>
      <c r="C94" s="50">
        <f t="shared" si="4"/>
        <v>9200</v>
      </c>
      <c r="D94" s="72">
        <v>0.56999999999999995</v>
      </c>
      <c r="E94" s="33"/>
    </row>
    <row r="95" spans="1:5">
      <c r="A95" s="59" t="s">
        <v>70</v>
      </c>
      <c r="B95" s="36">
        <f>1000*SUMPRODUCT(C88:C94,D88:D94)</f>
        <v>122898000</v>
      </c>
      <c r="C95" s="36"/>
      <c r="D95" s="60"/>
      <c r="E95" s="33"/>
    </row>
    <row r="96" spans="1:5">
      <c r="A96" s="42" t="s">
        <v>71</v>
      </c>
      <c r="B96" s="43">
        <v>0.12</v>
      </c>
    </row>
    <row r="98" spans="1:1">
      <c r="A98" t="s">
        <v>81</v>
      </c>
    </row>
    <row r="99" spans="1:1">
      <c r="A99" t="s">
        <v>82</v>
      </c>
    </row>
  </sheetData>
  <phoneticPr fontId="4" type="noConversion"/>
  <printOptions horizontalCentered="1"/>
  <pageMargins left="0.39370078740157483" right="0.39370078740157483" top="0.39370078740157483" bottom="0.39370078740157483" header="0" footer="0"/>
  <pageSetup paperSize="9" scale="78" fitToHeight="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4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FC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HMTO</dc:creator>
  <cp:lastModifiedBy>Paulita</cp:lastModifiedBy>
  <cp:lastPrinted>2009-01-29T21:22:30Z</cp:lastPrinted>
  <dcterms:created xsi:type="dcterms:W3CDTF">2009-01-15T15:45:22Z</dcterms:created>
  <dcterms:modified xsi:type="dcterms:W3CDTF">2009-04-17T21:23:36Z</dcterms:modified>
</cp:coreProperties>
</file>