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rav\Documents\Rodrigo\Clases U Chile 2020\Clase Primavera 2020\PRESENTACIONES\"/>
    </mc:Choice>
  </mc:AlternateContent>
  <xr:revisionPtr revIDLastSave="0" documentId="13_ncr:1_{4E55F749-1AC6-47D4-8435-4513A6423CFB}" xr6:coauthVersionLast="46" xr6:coauthVersionMax="46" xr10:uidLastSave="{00000000-0000-0000-0000-000000000000}"/>
  <bookViews>
    <workbookView xWindow="-108" yWindow="-108" windowWidth="23256" windowHeight="12576" activeTab="3" xr2:uid="{00000000-000D-0000-FFFF-FFFF00000000}"/>
  </bookViews>
  <sheets>
    <sheet name="TASA CRECIMIENTO" sheetId="3" r:id="rId1"/>
    <sheet name="HISTORICO Y PROYEC CASOS" sheetId="4" r:id="rId2"/>
    <sheet name="PROYECCION SUPUESTOS" sheetId="5" r:id="rId3"/>
    <sheet name="DEMANDA-OFERTA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8" i="4" l="1"/>
  <c r="L62" i="4"/>
  <c r="K63" i="4"/>
  <c r="K62" i="4"/>
  <c r="J62" i="4"/>
  <c r="I62" i="4"/>
  <c r="I3" i="4"/>
  <c r="D9" i="3"/>
  <c r="D15" i="3"/>
  <c r="E77" i="6"/>
  <c r="E78" i="6"/>
  <c r="H76" i="6"/>
  <c r="H75" i="6"/>
  <c r="H74" i="6"/>
  <c r="F94" i="6" l="1"/>
  <c r="F74" i="6" l="1"/>
  <c r="F86" i="6" l="1"/>
  <c r="F84" i="6"/>
  <c r="F82" i="6"/>
  <c r="F81" i="6"/>
  <c r="F80" i="6"/>
  <c r="F79" i="6"/>
  <c r="F76" i="6"/>
  <c r="F75" i="6"/>
  <c r="D78" i="6"/>
  <c r="D77" i="6"/>
  <c r="D76" i="6"/>
  <c r="E74" i="6" l="1"/>
  <c r="E75" i="6" s="1"/>
  <c r="D74" i="6"/>
  <c r="G74" i="6" s="1"/>
  <c r="E76" i="6" l="1"/>
  <c r="D75" i="6"/>
  <c r="E51" i="6"/>
  <c r="E50" i="6"/>
  <c r="D51" i="6"/>
  <c r="E79" i="6" l="1"/>
  <c r="E80" i="6" s="1"/>
  <c r="G75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40" i="6"/>
  <c r="J35" i="6"/>
  <c r="E41" i="6"/>
  <c r="E42" i="6"/>
  <c r="E43" i="6"/>
  <c r="E44" i="6"/>
  <c r="E45" i="6"/>
  <c r="E46" i="6"/>
  <c r="E47" i="6"/>
  <c r="E48" i="6"/>
  <c r="E49" i="6"/>
  <c r="E40" i="6"/>
  <c r="J34" i="6"/>
  <c r="D52" i="6"/>
  <c r="D42" i="6"/>
  <c r="D43" i="6" s="1"/>
  <c r="D44" i="6" s="1"/>
  <c r="D45" i="6" s="1"/>
  <c r="D46" i="6" s="1"/>
  <c r="D47" i="6" s="1"/>
  <c r="D48" i="6" s="1"/>
  <c r="D49" i="6" s="1"/>
  <c r="D50" i="6" s="1"/>
  <c r="D41" i="6"/>
  <c r="E36" i="6"/>
  <c r="G76" i="6" l="1"/>
  <c r="E81" i="6"/>
  <c r="E52" i="6"/>
  <c r="D53" i="6"/>
  <c r="F18" i="6"/>
  <c r="F77" i="6" l="1"/>
  <c r="G77" i="6" s="1"/>
  <c r="H77" i="6" s="1"/>
  <c r="E82" i="6"/>
  <c r="E53" i="6"/>
  <c r="D54" i="6"/>
  <c r="E20" i="6"/>
  <c r="G20" i="6" s="1"/>
  <c r="D14" i="3"/>
  <c r="D13" i="3"/>
  <c r="D79" i="6" l="1"/>
  <c r="F78" i="6"/>
  <c r="G78" i="6" s="1"/>
  <c r="H78" i="6" s="1"/>
  <c r="E83" i="6"/>
  <c r="D55" i="6"/>
  <c r="E54" i="6"/>
  <c r="E15" i="6"/>
  <c r="G14" i="6"/>
  <c r="G11" i="6"/>
  <c r="G12" i="6"/>
  <c r="G13" i="6"/>
  <c r="G10" i="6"/>
  <c r="G23" i="6"/>
  <c r="G79" i="6" l="1"/>
  <c r="H79" i="6" s="1"/>
  <c r="D80" i="6"/>
  <c r="G80" i="6" s="1"/>
  <c r="E84" i="6"/>
  <c r="D56" i="6"/>
  <c r="E55" i="6"/>
  <c r="G21" i="6"/>
  <c r="G22" i="6"/>
  <c r="H80" i="6" l="1"/>
  <c r="D81" i="6"/>
  <c r="D82" i="6"/>
  <c r="G81" i="6"/>
  <c r="E85" i="6"/>
  <c r="E86" i="6" s="1"/>
  <c r="D57" i="6"/>
  <c r="E56" i="6"/>
  <c r="G24" i="6"/>
  <c r="F5" i="5"/>
  <c r="F6" i="5" s="1"/>
  <c r="F4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H81" i="6" l="1"/>
  <c r="D83" i="6"/>
  <c r="G82" i="6"/>
  <c r="G86" i="6"/>
  <c r="D58" i="6"/>
  <c r="E57" i="6"/>
  <c r="E7" i="5"/>
  <c r="E8" i="5"/>
  <c r="E9" i="5"/>
  <c r="E10" i="5"/>
  <c r="E11" i="5"/>
  <c r="E12" i="5"/>
  <c r="E13" i="5"/>
  <c r="E14" i="5"/>
  <c r="E15" i="5"/>
  <c r="G7" i="5"/>
  <c r="G8" i="5"/>
  <c r="G9" i="5"/>
  <c r="G10" i="5"/>
  <c r="G11" i="5"/>
  <c r="G12" i="5"/>
  <c r="G13" i="5"/>
  <c r="G14" i="5"/>
  <c r="G15" i="5"/>
  <c r="G5" i="5"/>
  <c r="F21" i="5"/>
  <c r="F22" i="5"/>
  <c r="F23" i="5"/>
  <c r="F24" i="5"/>
  <c r="F25" i="5"/>
  <c r="F26" i="5"/>
  <c r="F27" i="5"/>
  <c r="F28" i="5"/>
  <c r="F29" i="5"/>
  <c r="F30" i="5"/>
  <c r="F20" i="5"/>
  <c r="H82" i="6" l="1"/>
  <c r="D84" i="6"/>
  <c r="F83" i="6"/>
  <c r="G83" i="6" s="1"/>
  <c r="E87" i="6"/>
  <c r="D59" i="6"/>
  <c r="E58" i="6"/>
  <c r="E6" i="5"/>
  <c r="E5" i="5"/>
  <c r="D6" i="3"/>
  <c r="D5" i="3"/>
  <c r="H83" i="6" l="1"/>
  <c r="G84" i="6"/>
  <c r="D85" i="6"/>
  <c r="E88" i="6"/>
  <c r="D60" i="6"/>
  <c r="E60" i="6" s="1"/>
  <c r="E59" i="6"/>
  <c r="G6" i="5"/>
  <c r="H84" i="6" l="1"/>
  <c r="F85" i="6"/>
  <c r="G85" i="6" s="1"/>
  <c r="D86" i="6"/>
  <c r="E89" i="6"/>
  <c r="H85" i="6" l="1"/>
  <c r="H86" i="6" s="1"/>
  <c r="D87" i="6"/>
  <c r="E90" i="6"/>
  <c r="D88" i="6" l="1"/>
  <c r="F87" i="6"/>
  <c r="G87" i="6" s="1"/>
  <c r="H87" i="6" s="1"/>
  <c r="E91" i="6"/>
  <c r="D89" i="6" l="1"/>
  <c r="F88" i="6"/>
  <c r="G88" i="6" s="1"/>
  <c r="H88" i="6" s="1"/>
  <c r="E92" i="6"/>
  <c r="D90" i="6" l="1"/>
  <c r="F89" i="6"/>
  <c r="G89" i="6" s="1"/>
  <c r="H89" i="6" s="1"/>
  <c r="E93" i="6"/>
  <c r="D91" i="6" l="1"/>
  <c r="F90" i="6"/>
  <c r="G90" i="6" s="1"/>
  <c r="H90" i="6" s="1"/>
  <c r="E94" i="6"/>
  <c r="D92" i="6" l="1"/>
  <c r="F91" i="6"/>
  <c r="G91" i="6" s="1"/>
  <c r="H91" i="6" s="1"/>
  <c r="D93" i="6" l="1"/>
  <c r="F92" i="6"/>
  <c r="G92" i="6" s="1"/>
  <c r="H92" i="6" s="1"/>
  <c r="D94" i="6" l="1"/>
  <c r="G94" i="6" s="1"/>
  <c r="F93" i="6"/>
  <c r="G93" i="6" s="1"/>
  <c r="H93" i="6" s="1"/>
  <c r="H94" i="6" l="1"/>
</calcChain>
</file>

<file path=xl/sharedStrings.xml><?xml version="1.0" encoding="utf-8"?>
<sst xmlns="http://schemas.openxmlformats.org/spreadsheetml/2006/main" count="129" uniqueCount="58">
  <si>
    <t>Ene - Mar</t>
  </si>
  <si>
    <t>Abr - Jun</t>
  </si>
  <si>
    <t>Jul - Sep</t>
  </si>
  <si>
    <t>Oct - Dic</t>
  </si>
  <si>
    <t>Año</t>
  </si>
  <si>
    <t>Variacion estimada</t>
  </si>
  <si>
    <t>Proyección de Casos</t>
  </si>
  <si>
    <t>Limite inferior</t>
  </si>
  <si>
    <t>Media</t>
  </si>
  <si>
    <t>limite superior</t>
  </si>
  <si>
    <t>n</t>
  </si>
  <si>
    <t>Proyección de problación</t>
  </si>
  <si>
    <t>Tasa de creciemiento</t>
  </si>
  <si>
    <t>AÑO</t>
  </si>
  <si>
    <t>TASA DE CRECIMIENTO ANUAL</t>
  </si>
  <si>
    <t>Población (habitantes)</t>
  </si>
  <si>
    <t>N° ingresos</t>
  </si>
  <si>
    <t xml:space="preserve">Ejemplo </t>
  </si>
  <si>
    <t>Estructura Etárea y Población</t>
  </si>
  <si>
    <t>Edades</t>
  </si>
  <si>
    <t>Programa</t>
  </si>
  <si>
    <t>Población</t>
  </si>
  <si>
    <t>Menores de 14 años</t>
  </si>
  <si>
    <t>Mujeres entre 14 y 45</t>
  </si>
  <si>
    <t>Mayores de catorce años</t>
  </si>
  <si>
    <t>Población Total</t>
  </si>
  <si>
    <t>N=</t>
  </si>
  <si>
    <t>Infantil</t>
  </si>
  <si>
    <t>Materno</t>
  </si>
  <si>
    <t xml:space="preserve">Adulto </t>
  </si>
  <si>
    <t>Salud Bucal</t>
  </si>
  <si>
    <t>Tasa de atención anual</t>
  </si>
  <si>
    <t>AÑO 2030</t>
  </si>
  <si>
    <t>Año 2020</t>
  </si>
  <si>
    <t>Tasa de crecimiento anual 2000 - 2020</t>
  </si>
  <si>
    <t xml:space="preserve">POBLACIÓN </t>
  </si>
  <si>
    <t>Ejempo de Oferta - Demanda y Déficit</t>
  </si>
  <si>
    <t>Capacidad instalada</t>
  </si>
  <si>
    <t>5000 m3/día</t>
  </si>
  <si>
    <t>Demanda</t>
  </si>
  <si>
    <t>Déficit</t>
  </si>
  <si>
    <t>Oferta (m3/día</t>
  </si>
  <si>
    <t>Población al año 2020:</t>
  </si>
  <si>
    <t>Consumo percápita</t>
  </si>
  <si>
    <t>litros día</t>
  </si>
  <si>
    <t>año 1 a 10</t>
  </si>
  <si>
    <t>11 a 20</t>
  </si>
  <si>
    <t>Tasa de crecimiento poblacional</t>
  </si>
  <si>
    <t>Factor de consumo</t>
  </si>
  <si>
    <t xml:space="preserve">Oferta: </t>
  </si>
  <si>
    <t>kilos</t>
  </si>
  <si>
    <t>Generación de desechos</t>
  </si>
  <si>
    <t>Kg/per cápita</t>
  </si>
  <si>
    <t>Tasa de crecimiento de la población</t>
  </si>
  <si>
    <t>a partir del año 6</t>
  </si>
  <si>
    <t>a partir del año 11</t>
  </si>
  <si>
    <t>Ofertas (kilos)</t>
  </si>
  <si>
    <t>Acum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</si>
</sst>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 * #,##0.00_ ;_ * \-#,##0.00_ ;_ * &quot;-&quot;_ ;_ @_ "/>
    <numFmt numFmtId="165" formatCode="_ * #,##0.0_ ;_ * \-#,##0.0_ ;_ * &quot;-&quot;_ ;_ @_ "/>
    <numFmt numFmtId="166" formatCode="_ * #,##0.0_ ;_ * \-#,##0.0_ ;_ * &quot;-&quot;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 applyAlignment="1">
      <alignment horizontal="center" vertical="center" wrapText="1"/>
    </xf>
    <xf numFmtId="41" fontId="0" fillId="0" borderId="0" xfId="1" applyFont="1"/>
    <xf numFmtId="164" fontId="0" fillId="0" borderId="0" xfId="1" applyNumberFormat="1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top"/>
    </xf>
    <xf numFmtId="3" fontId="5" fillId="2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top"/>
    </xf>
    <xf numFmtId="0" fontId="6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0" fontId="5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2" borderId="12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1" applyNumberFormat="1" applyFont="1" applyBorder="1"/>
    <xf numFmtId="2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/>
    <xf numFmtId="41" fontId="0" fillId="0" borderId="0" xfId="0" applyNumberFormat="1"/>
    <xf numFmtId="0" fontId="0" fillId="0" borderId="16" xfId="0" applyFill="1" applyBorder="1"/>
    <xf numFmtId="41" fontId="0" fillId="0" borderId="1" xfId="1" applyFont="1" applyBorder="1"/>
    <xf numFmtId="41" fontId="0" fillId="0" borderId="1" xfId="0" applyNumberFormat="1" applyBorder="1"/>
    <xf numFmtId="0" fontId="2" fillId="0" borderId="1" xfId="0" applyFont="1" applyBorder="1"/>
    <xf numFmtId="165" fontId="0" fillId="0" borderId="1" xfId="1" applyNumberFormat="1" applyFont="1" applyBorder="1" applyAlignment="1">
      <alignment vertical="center" wrapText="1"/>
    </xf>
    <xf numFmtId="165" fontId="0" fillId="0" borderId="1" xfId="1" applyNumberFormat="1" applyFont="1" applyBorder="1"/>
    <xf numFmtId="0" fontId="0" fillId="0" borderId="1" xfId="0" applyFill="1" applyBorder="1"/>
    <xf numFmtId="166" fontId="0" fillId="0" borderId="0" xfId="0" applyNumberFormat="1"/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6.5358705161854769E-2"/>
          <c:y val="0.11615740740740743"/>
          <c:w val="0.87753018372703417"/>
          <c:h val="0.7208876494604841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1"/>
            <c:trendlineLbl>
              <c:layout>
                <c:manualLayout>
                  <c:x val="0.13091863517060368"/>
                  <c:y val="-0.255804104032450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</c:trendlineLbl>
          </c:trendline>
          <c:xVal>
            <c:multiLvlStrRef>
              <c:f>'HISTORICO Y PROYEC CASOS'!$C$3:$D$58</c:f>
              <c:multiLvlStrCache>
                <c:ptCount val="56"/>
                <c:lvl>
                  <c:pt idx="0">
                    <c:v>Ene - Mar</c:v>
                  </c:pt>
                  <c:pt idx="1">
                    <c:v>Abr - Jun</c:v>
                  </c:pt>
                  <c:pt idx="2">
                    <c:v>Jul - Sep</c:v>
                  </c:pt>
                  <c:pt idx="3">
                    <c:v>Oct - Dic</c:v>
                  </c:pt>
                  <c:pt idx="4">
                    <c:v>Ene - Mar</c:v>
                  </c:pt>
                  <c:pt idx="5">
                    <c:v>Abr - Jun</c:v>
                  </c:pt>
                  <c:pt idx="6">
                    <c:v>Jul - Sep</c:v>
                  </c:pt>
                  <c:pt idx="7">
                    <c:v>Oct - Dic</c:v>
                  </c:pt>
                  <c:pt idx="8">
                    <c:v>Ene - Mar</c:v>
                  </c:pt>
                  <c:pt idx="9">
                    <c:v>Abr - Jun</c:v>
                  </c:pt>
                  <c:pt idx="10">
                    <c:v>Jul - Sep</c:v>
                  </c:pt>
                  <c:pt idx="11">
                    <c:v>Oct - Dic</c:v>
                  </c:pt>
                  <c:pt idx="12">
                    <c:v>Ene - Mar</c:v>
                  </c:pt>
                  <c:pt idx="13">
                    <c:v>Abr - Jun</c:v>
                  </c:pt>
                  <c:pt idx="14">
                    <c:v>Jul - Sep</c:v>
                  </c:pt>
                  <c:pt idx="15">
                    <c:v>Oct - Dic</c:v>
                  </c:pt>
                  <c:pt idx="16">
                    <c:v>Ene - Mar</c:v>
                  </c:pt>
                  <c:pt idx="17">
                    <c:v>Abr - Jun</c:v>
                  </c:pt>
                  <c:pt idx="18">
                    <c:v>Jul - Sep</c:v>
                  </c:pt>
                  <c:pt idx="19">
                    <c:v>Oct - Dic</c:v>
                  </c:pt>
                  <c:pt idx="20">
                    <c:v>Ene - Mar</c:v>
                  </c:pt>
                  <c:pt idx="21">
                    <c:v>Abr - Jun</c:v>
                  </c:pt>
                  <c:pt idx="22">
                    <c:v>Jul - Sep</c:v>
                  </c:pt>
                  <c:pt idx="23">
                    <c:v>Oct - Dic</c:v>
                  </c:pt>
                  <c:pt idx="24">
                    <c:v>Ene - Mar</c:v>
                  </c:pt>
                  <c:pt idx="25">
                    <c:v>Abr - Jun</c:v>
                  </c:pt>
                  <c:pt idx="26">
                    <c:v>Jul - Sep</c:v>
                  </c:pt>
                  <c:pt idx="27">
                    <c:v>Oct - Dic</c:v>
                  </c:pt>
                  <c:pt idx="28">
                    <c:v>Ene - Mar</c:v>
                  </c:pt>
                  <c:pt idx="29">
                    <c:v>Abr - Jun</c:v>
                  </c:pt>
                  <c:pt idx="30">
                    <c:v>Jul - Sep</c:v>
                  </c:pt>
                  <c:pt idx="31">
                    <c:v>Oct - Dic</c:v>
                  </c:pt>
                  <c:pt idx="32">
                    <c:v>Ene - Mar</c:v>
                  </c:pt>
                  <c:pt idx="33">
                    <c:v>Abr - Jun</c:v>
                  </c:pt>
                  <c:pt idx="34">
                    <c:v>Jul - Sep</c:v>
                  </c:pt>
                  <c:pt idx="35">
                    <c:v>Oct - Dic</c:v>
                  </c:pt>
                  <c:pt idx="36">
                    <c:v>Ene - Mar</c:v>
                  </c:pt>
                  <c:pt idx="37">
                    <c:v>Abr - Jun</c:v>
                  </c:pt>
                  <c:pt idx="38">
                    <c:v>Jul - Sep</c:v>
                  </c:pt>
                  <c:pt idx="39">
                    <c:v>Oct - Dic</c:v>
                  </c:pt>
                  <c:pt idx="40">
                    <c:v>Ene - Mar</c:v>
                  </c:pt>
                  <c:pt idx="41">
                    <c:v>Abr - Jun</c:v>
                  </c:pt>
                  <c:pt idx="42">
                    <c:v>Jul - Sep</c:v>
                  </c:pt>
                  <c:pt idx="43">
                    <c:v>Oct - Dic</c:v>
                  </c:pt>
                  <c:pt idx="44">
                    <c:v>Ene - Mar</c:v>
                  </c:pt>
                  <c:pt idx="45">
                    <c:v>Abr - Jun</c:v>
                  </c:pt>
                  <c:pt idx="46">
                    <c:v>Jul - Sep</c:v>
                  </c:pt>
                  <c:pt idx="47">
                    <c:v>Oct - Dic</c:v>
                  </c:pt>
                  <c:pt idx="48">
                    <c:v>Ene - Mar</c:v>
                  </c:pt>
                  <c:pt idx="49">
                    <c:v>Abr - Jun</c:v>
                  </c:pt>
                  <c:pt idx="50">
                    <c:v>Jul - Sep</c:v>
                  </c:pt>
                  <c:pt idx="51">
                    <c:v>Oct - Dic</c:v>
                  </c:pt>
                  <c:pt idx="52">
                    <c:v>Ene - Mar</c:v>
                  </c:pt>
                  <c:pt idx="53">
                    <c:v>Abr - Jun</c:v>
                  </c:pt>
                  <c:pt idx="54">
                    <c:v>Jul - Sep</c:v>
                  </c:pt>
                  <c:pt idx="55">
                    <c:v>Oct - Dic</c:v>
                  </c:pt>
                </c:lvl>
                <c:lvl>
                  <c:pt idx="0">
                    <c:v>2006</c:v>
                  </c:pt>
                  <c:pt idx="4">
                    <c:v>2007</c:v>
                  </c:pt>
                  <c:pt idx="8">
                    <c:v>2008</c:v>
                  </c:pt>
                  <c:pt idx="12">
                    <c:v>2009</c:v>
                  </c:pt>
                  <c:pt idx="16">
                    <c:v>2010</c:v>
                  </c:pt>
                  <c:pt idx="20">
                    <c:v>2011</c:v>
                  </c:pt>
                  <c:pt idx="24">
                    <c:v>2012</c:v>
                  </c:pt>
                  <c:pt idx="28">
                    <c:v>2013</c:v>
                  </c:pt>
                  <c:pt idx="32">
                    <c:v>2014</c:v>
                  </c:pt>
                  <c:pt idx="36">
                    <c:v>2015</c:v>
                  </c:pt>
                  <c:pt idx="40">
                    <c:v>2016</c:v>
                  </c:pt>
                  <c:pt idx="44">
                    <c:v>2017</c:v>
                  </c:pt>
                  <c:pt idx="48">
                    <c:v>2018</c:v>
                  </c:pt>
                  <c:pt idx="52">
                    <c:v>2019</c:v>
                  </c:pt>
                </c:lvl>
              </c:multiLvlStrCache>
            </c:multiLvlStrRef>
          </c:xVal>
          <c:yVal>
            <c:numRef>
              <c:f>'HISTORICO Y PROYEC CASOS'!$E$3:$E$58</c:f>
              <c:numCache>
                <c:formatCode>General</c:formatCode>
                <c:ptCount val="56"/>
                <c:pt idx="0">
                  <c:v>554</c:v>
                </c:pt>
                <c:pt idx="1">
                  <c:v>465</c:v>
                </c:pt>
                <c:pt idx="2">
                  <c:v>532</c:v>
                </c:pt>
                <c:pt idx="3">
                  <c:v>516</c:v>
                </c:pt>
                <c:pt idx="4">
                  <c:v>531</c:v>
                </c:pt>
                <c:pt idx="5">
                  <c:v>508</c:v>
                </c:pt>
                <c:pt idx="6">
                  <c:v>626</c:v>
                </c:pt>
                <c:pt idx="7">
                  <c:v>654</c:v>
                </c:pt>
                <c:pt idx="8">
                  <c:v>638</c:v>
                </c:pt>
                <c:pt idx="9">
                  <c:v>638</c:v>
                </c:pt>
                <c:pt idx="10">
                  <c:v>711</c:v>
                </c:pt>
                <c:pt idx="11">
                  <c:v>665</c:v>
                </c:pt>
                <c:pt idx="12">
                  <c:v>691</c:v>
                </c:pt>
                <c:pt idx="13">
                  <c:v>552</c:v>
                </c:pt>
                <c:pt idx="14">
                  <c:v>639</c:v>
                </c:pt>
                <c:pt idx="15">
                  <c:v>680</c:v>
                </c:pt>
                <c:pt idx="16">
                  <c:v>629</c:v>
                </c:pt>
                <c:pt idx="17">
                  <c:v>523</c:v>
                </c:pt>
                <c:pt idx="18">
                  <c:v>545</c:v>
                </c:pt>
                <c:pt idx="19">
                  <c:v>570</c:v>
                </c:pt>
                <c:pt idx="20">
                  <c:v>574</c:v>
                </c:pt>
                <c:pt idx="21">
                  <c:v>612</c:v>
                </c:pt>
                <c:pt idx="22">
                  <c:v>675</c:v>
                </c:pt>
                <c:pt idx="23">
                  <c:v>632</c:v>
                </c:pt>
                <c:pt idx="24">
                  <c:v>677</c:v>
                </c:pt>
                <c:pt idx="25">
                  <c:v>599</c:v>
                </c:pt>
                <c:pt idx="26">
                  <c:v>601</c:v>
                </c:pt>
                <c:pt idx="27">
                  <c:v>623</c:v>
                </c:pt>
                <c:pt idx="28">
                  <c:v>645</c:v>
                </c:pt>
                <c:pt idx="29">
                  <c:v>617</c:v>
                </c:pt>
                <c:pt idx="30">
                  <c:v>560</c:v>
                </c:pt>
                <c:pt idx="31">
                  <c:v>572</c:v>
                </c:pt>
                <c:pt idx="32">
                  <c:v>508</c:v>
                </c:pt>
                <c:pt idx="33">
                  <c:v>505</c:v>
                </c:pt>
                <c:pt idx="34">
                  <c:v>575</c:v>
                </c:pt>
                <c:pt idx="35">
                  <c:v>550</c:v>
                </c:pt>
                <c:pt idx="36">
                  <c:v>596</c:v>
                </c:pt>
                <c:pt idx="37">
                  <c:v>496</c:v>
                </c:pt>
                <c:pt idx="38">
                  <c:v>501</c:v>
                </c:pt>
                <c:pt idx="39">
                  <c:v>501</c:v>
                </c:pt>
                <c:pt idx="40">
                  <c:v>536</c:v>
                </c:pt>
                <c:pt idx="41">
                  <c:v>505</c:v>
                </c:pt>
                <c:pt idx="42">
                  <c:v>537</c:v>
                </c:pt>
                <c:pt idx="43">
                  <c:v>483</c:v>
                </c:pt>
                <c:pt idx="44">
                  <c:v>516</c:v>
                </c:pt>
                <c:pt idx="45">
                  <c:v>530</c:v>
                </c:pt>
                <c:pt idx="46">
                  <c:v>539</c:v>
                </c:pt>
                <c:pt idx="47">
                  <c:v>520</c:v>
                </c:pt>
                <c:pt idx="48">
                  <c:v>444</c:v>
                </c:pt>
                <c:pt idx="49">
                  <c:v>538</c:v>
                </c:pt>
                <c:pt idx="50">
                  <c:v>506</c:v>
                </c:pt>
                <c:pt idx="51">
                  <c:v>533</c:v>
                </c:pt>
                <c:pt idx="52">
                  <c:v>622</c:v>
                </c:pt>
                <c:pt idx="53">
                  <c:v>607</c:v>
                </c:pt>
                <c:pt idx="54">
                  <c:v>582</c:v>
                </c:pt>
                <c:pt idx="55">
                  <c:v>630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22-4C56-BA38-9C35A1692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587728"/>
        <c:axId val="512590680"/>
      </c:scatterChart>
      <c:valAx>
        <c:axId val="512587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2590680"/>
        <c:crosses val="autoZero"/>
        <c:crossBetween val="midCat"/>
      </c:valAx>
      <c:valAx>
        <c:axId val="51259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2587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3"/>
            <c:dispRSqr val="0"/>
            <c:dispEq val="1"/>
            <c:trendlineLbl>
              <c:layout>
                <c:manualLayout>
                  <c:x val="0.10036307961504812"/>
                  <c:y val="0.45374088655584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</c:trendlineLbl>
          </c:trendline>
          <c:yVal>
            <c:numRef>
              <c:f>'HISTORICO Y PROYEC CASOS'!$E$3:$E$58</c:f>
              <c:numCache>
                <c:formatCode>General</c:formatCode>
                <c:ptCount val="56"/>
                <c:pt idx="0">
                  <c:v>554</c:v>
                </c:pt>
                <c:pt idx="1">
                  <c:v>465</c:v>
                </c:pt>
                <c:pt idx="2">
                  <c:v>532</c:v>
                </c:pt>
                <c:pt idx="3">
                  <c:v>516</c:v>
                </c:pt>
                <c:pt idx="4">
                  <c:v>531</c:v>
                </c:pt>
                <c:pt idx="5">
                  <c:v>508</c:v>
                </c:pt>
                <c:pt idx="6">
                  <c:v>626</c:v>
                </c:pt>
                <c:pt idx="7">
                  <c:v>654</c:v>
                </c:pt>
                <c:pt idx="8">
                  <c:v>638</c:v>
                </c:pt>
                <c:pt idx="9">
                  <c:v>638</c:v>
                </c:pt>
                <c:pt idx="10">
                  <c:v>711</c:v>
                </c:pt>
                <c:pt idx="11">
                  <c:v>665</c:v>
                </c:pt>
                <c:pt idx="12">
                  <c:v>691</c:v>
                </c:pt>
                <c:pt idx="13">
                  <c:v>552</c:v>
                </c:pt>
                <c:pt idx="14">
                  <c:v>639</c:v>
                </c:pt>
                <c:pt idx="15">
                  <c:v>680</c:v>
                </c:pt>
                <c:pt idx="16">
                  <c:v>629</c:v>
                </c:pt>
                <c:pt idx="17">
                  <c:v>523</c:v>
                </c:pt>
                <c:pt idx="18">
                  <c:v>545</c:v>
                </c:pt>
                <c:pt idx="19">
                  <c:v>570</c:v>
                </c:pt>
                <c:pt idx="20">
                  <c:v>574</c:v>
                </c:pt>
                <c:pt idx="21">
                  <c:v>612</c:v>
                </c:pt>
                <c:pt idx="22">
                  <c:v>675</c:v>
                </c:pt>
                <c:pt idx="23">
                  <c:v>632</c:v>
                </c:pt>
                <c:pt idx="24">
                  <c:v>677</c:v>
                </c:pt>
                <c:pt idx="25">
                  <c:v>599</c:v>
                </c:pt>
                <c:pt idx="26">
                  <c:v>601</c:v>
                </c:pt>
                <c:pt idx="27">
                  <c:v>623</c:v>
                </c:pt>
                <c:pt idx="28">
                  <c:v>645</c:v>
                </c:pt>
                <c:pt idx="29">
                  <c:v>617</c:v>
                </c:pt>
                <c:pt idx="30">
                  <c:v>560</c:v>
                </c:pt>
                <c:pt idx="31">
                  <c:v>572</c:v>
                </c:pt>
                <c:pt idx="32">
                  <c:v>508</c:v>
                </c:pt>
                <c:pt idx="33">
                  <c:v>505</c:v>
                </c:pt>
                <c:pt idx="34">
                  <c:v>575</c:v>
                </c:pt>
                <c:pt idx="35">
                  <c:v>550</c:v>
                </c:pt>
                <c:pt idx="36">
                  <c:v>596</c:v>
                </c:pt>
                <c:pt idx="37">
                  <c:v>496</c:v>
                </c:pt>
                <c:pt idx="38">
                  <c:v>501</c:v>
                </c:pt>
                <c:pt idx="39">
                  <c:v>501</c:v>
                </c:pt>
                <c:pt idx="40">
                  <c:v>536</c:v>
                </c:pt>
                <c:pt idx="41">
                  <c:v>505</c:v>
                </c:pt>
                <c:pt idx="42">
                  <c:v>537</c:v>
                </c:pt>
                <c:pt idx="43">
                  <c:v>483</c:v>
                </c:pt>
                <c:pt idx="44">
                  <c:v>516</c:v>
                </c:pt>
                <c:pt idx="45">
                  <c:v>530</c:v>
                </c:pt>
                <c:pt idx="46">
                  <c:v>539</c:v>
                </c:pt>
                <c:pt idx="47">
                  <c:v>520</c:v>
                </c:pt>
                <c:pt idx="48">
                  <c:v>444</c:v>
                </c:pt>
                <c:pt idx="49">
                  <c:v>538</c:v>
                </c:pt>
                <c:pt idx="50">
                  <c:v>506</c:v>
                </c:pt>
                <c:pt idx="51">
                  <c:v>533</c:v>
                </c:pt>
                <c:pt idx="52">
                  <c:v>622</c:v>
                </c:pt>
                <c:pt idx="53">
                  <c:v>607</c:v>
                </c:pt>
                <c:pt idx="54">
                  <c:v>582</c:v>
                </c:pt>
                <c:pt idx="55">
                  <c:v>630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50-40A4-96F7-D172DC24D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802560"/>
        <c:axId val="601807480"/>
      </c:scatterChart>
      <c:valAx>
        <c:axId val="601802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01807480"/>
        <c:crosses val="autoZero"/>
        <c:crossBetween val="midCat"/>
      </c:valAx>
      <c:valAx>
        <c:axId val="60180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01802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</c:trendlineLbl>
          </c:trendline>
          <c:xVal>
            <c:numRef>
              <c:f>'PROYECCION SUPUESTOS'!$D$20:$D$30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xVal>
          <c:yVal>
            <c:numRef>
              <c:f>'PROYECCION SUPUESTOS'!$E$20:$E$30</c:f>
              <c:numCache>
                <c:formatCode>General</c:formatCode>
                <c:ptCount val="11"/>
                <c:pt idx="0">
                  <c:v>7.3</c:v>
                </c:pt>
                <c:pt idx="10">
                  <c:v>-1.02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EE-4963-B4B6-8938A36F7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009768"/>
        <c:axId val="251010096"/>
      </c:scatterChart>
      <c:valAx>
        <c:axId val="25100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51010096"/>
        <c:crosses val="autoZero"/>
        <c:crossBetween val="midCat"/>
      </c:valAx>
      <c:valAx>
        <c:axId val="25101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5100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Proyección</a:t>
            </a:r>
            <a:r>
              <a:rPr lang="es-CL" baseline="0"/>
              <a:t> de casos al 2030</a:t>
            </a:r>
            <a:endParaRPr lang="es-C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'PROYECCION SUPUESTOS'!$C$5:$C$15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'PROYECCION SUPUESTOS'!$E$5:$E$15</c:f>
              <c:numCache>
                <c:formatCode>#,##0</c:formatCode>
                <c:ptCount val="11"/>
                <c:pt idx="0">
                  <c:v>2488.3232199999993</c:v>
                </c:pt>
                <c:pt idx="1">
                  <c:v>2610.002225457999</c:v>
                </c:pt>
                <c:pt idx="2">
                  <c:v>2700.85</c:v>
                </c:pt>
                <c:pt idx="3">
                  <c:v>2768.2999999999997</c:v>
                </c:pt>
                <c:pt idx="4">
                  <c:v>2815.7999999999997</c:v>
                </c:pt>
                <c:pt idx="5">
                  <c:v>2846.2</c:v>
                </c:pt>
                <c:pt idx="6">
                  <c:v>2861.4</c:v>
                </c:pt>
                <c:pt idx="7">
                  <c:v>2864.25</c:v>
                </c:pt>
                <c:pt idx="8">
                  <c:v>2854.75</c:v>
                </c:pt>
                <c:pt idx="9">
                  <c:v>2835.75</c:v>
                </c:pt>
                <c:pt idx="10">
                  <c:v>2806.2999999999997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CF-4893-BA70-9DD9D360B497}"/>
            </c:ext>
          </c:extLst>
        </c:ser>
        <c:ser>
          <c:idx val="1"/>
          <c:order val="1"/>
          <c:tx>
            <c:v>Media de casos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9.013779527559055E-3"/>
                  <c:y val="3.0127223680373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CF-4893-BA70-9DD9D360B4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'PROYECCION SUPUESTOS'!$C$5:$C$15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'PROYECCION SUPUESTOS'!$F$5:$F$15</c:f>
              <c:numCache>
                <c:formatCode>#,##0</c:formatCode>
                <c:ptCount val="11"/>
                <c:pt idx="0">
                  <c:v>2619.2875999999992</c:v>
                </c:pt>
                <c:pt idx="1">
                  <c:v>2747.370763639999</c:v>
                </c:pt>
                <c:pt idx="2">
                  <c:v>2843</c:v>
                </c:pt>
                <c:pt idx="3">
                  <c:v>2914</c:v>
                </c:pt>
                <c:pt idx="4">
                  <c:v>2964</c:v>
                </c:pt>
                <c:pt idx="5">
                  <c:v>2996</c:v>
                </c:pt>
                <c:pt idx="6">
                  <c:v>3012</c:v>
                </c:pt>
                <c:pt idx="7">
                  <c:v>3015</c:v>
                </c:pt>
                <c:pt idx="8">
                  <c:v>3005</c:v>
                </c:pt>
                <c:pt idx="9">
                  <c:v>2985</c:v>
                </c:pt>
                <c:pt idx="10">
                  <c:v>2954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CF-4893-BA70-9DD9D360B497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'PROYECCION SUPUESTOS'!$C$5:$C$15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xVal>
          <c:yVal>
            <c:numRef>
              <c:f>'PROYECCION SUPUESTOS'!$G$5:$G$15</c:f>
              <c:numCache>
                <c:formatCode>#,##0</c:formatCode>
                <c:ptCount val="11"/>
                <c:pt idx="0">
                  <c:v>2750.2519799999991</c:v>
                </c:pt>
                <c:pt idx="1">
                  <c:v>2884.7393018219991</c:v>
                </c:pt>
                <c:pt idx="2">
                  <c:v>2985.15</c:v>
                </c:pt>
                <c:pt idx="3">
                  <c:v>3059.7000000000003</c:v>
                </c:pt>
                <c:pt idx="4">
                  <c:v>3112.2000000000003</c:v>
                </c:pt>
                <c:pt idx="5">
                  <c:v>3145.8</c:v>
                </c:pt>
                <c:pt idx="6">
                  <c:v>3162.6</c:v>
                </c:pt>
                <c:pt idx="7">
                  <c:v>3165.75</c:v>
                </c:pt>
                <c:pt idx="8">
                  <c:v>3155.25</c:v>
                </c:pt>
                <c:pt idx="9">
                  <c:v>3134.25</c:v>
                </c:pt>
                <c:pt idx="10">
                  <c:v>3101.7000000000003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CF-4893-BA70-9DD9D360B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349784"/>
        <c:axId val="602351096"/>
      </c:scatterChart>
      <c:valAx>
        <c:axId val="602349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02351096"/>
        <c:crosses val="autoZero"/>
        <c:crossBetween val="midCat"/>
      </c:valAx>
      <c:valAx>
        <c:axId val="602351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02349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784860</xdr:colOff>
      <xdr:row>2</xdr:row>
      <xdr:rowOff>2987</xdr:rowOff>
    </xdr:from>
    <xdr:to>
      <xdr:col>11</xdr:col>
      <xdr:colOff>457910</xdr:colOff>
      <xdr:row>7</xdr:row>
      <xdr:rowOff>180613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F29693-ED99-4B16-B105-C90301F4C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2700" y="368747"/>
          <a:ext cx="2842970" cy="1092026"/>
        </a:xfrm>
        <a:prstGeom prst="rect">
          <a:avLst/>
        </a:prstGeom>
      </xdr:spPr>
    </xdr:pic>
    <xdr:clientData/>
  </xdr:twoCellAnchor>
  <xdr:twoCellAnchor editAs="oneCell">
    <xdr:from>
      <xdr:col>8</xdr:col>
      <xdr:colOff>7620</xdr:colOff>
      <xdr:row>10</xdr:row>
      <xdr:rowOff>4074</xdr:rowOff>
    </xdr:from>
    <xdr:to>
      <xdr:col>11</xdr:col>
      <xdr:colOff>148107</xdr:colOff>
      <xdr:row>15</xdr:row>
      <xdr:rowOff>164635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2DA421-0846-4BEC-B364-40FDB128F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77940" y="1832874"/>
          <a:ext cx="2517927" cy="1074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211184</xdr:colOff>
      <xdr:row>39</xdr:row>
      <xdr:rowOff>10886</xdr:rowOff>
    </xdr:from>
    <xdr:to>
      <xdr:col>16</xdr:col>
      <xdr:colOff>26126</xdr:colOff>
      <xdr:row>53</xdr:row>
      <xdr:rowOff>84909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113ACC-8570-4F55-8595-B649AEA40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402771</xdr:colOff>
      <xdr:row>11</xdr:row>
      <xdr:rowOff>119743</xdr:rowOff>
    </xdr:from>
    <xdr:to>
      <xdr:col>17</xdr:col>
      <xdr:colOff>206829</xdr:colOff>
      <xdr:row>25</xdr:row>
      <xdr:rowOff>119743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1ECB45-5007-44D9-A615-1389C1314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525780</xdr:colOff>
      <xdr:row>18</xdr:row>
      <xdr:rowOff>114300</xdr:rowOff>
    </xdr:from>
    <xdr:to>
      <xdr:col>13</xdr:col>
      <xdr:colOff>342900</xdr:colOff>
      <xdr:row>33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30B0F67-5173-4D53-B719-333FF598D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563880</xdr:colOff>
      <xdr:row>3</xdr:row>
      <xdr:rowOff>53340</xdr:rowOff>
    </xdr:from>
    <xdr:to>
      <xdr:col>13</xdr:col>
      <xdr:colOff>381000</xdr:colOff>
      <xdr:row>18</xdr:row>
      <xdr:rowOff>30480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ED88FC1-9DB5-4F9B-9911-162F91738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B9CEB-F667-4AC0-9E9E-6BA70E1F4683}">
  <dimension ref="C2:G15"/>
  <sheetViews>
    <sheetView workbookViewId="0">
      <selection activeCell="D17" sqref="D17"/>
    </sheetView>
  </sheetViews>
  <sheetFormatPr baseColWidth="10" defaultRowHeight="14.4" x14ac:dyDescent="0.3"/>
  <cols>
    <col min="4" max="4" width="12" bestFit="1" customWidth="1"/>
  </cols>
  <sheetData>
    <row r="2" spans="3:7" x14ac:dyDescent="0.3">
      <c r="C2" s="8" t="s">
        <v>14</v>
      </c>
    </row>
    <row r="3" spans="3:7" x14ac:dyDescent="0.3">
      <c r="C3" s="8"/>
    </row>
    <row r="4" spans="3:7" x14ac:dyDescent="0.3">
      <c r="C4" s="25" t="s">
        <v>13</v>
      </c>
      <c r="D4" s="8" t="s">
        <v>15</v>
      </c>
      <c r="F4" t="s">
        <v>10</v>
      </c>
      <c r="G4">
        <v>10</v>
      </c>
    </row>
    <row r="5" spans="3:7" x14ac:dyDescent="0.3">
      <c r="C5">
        <v>1980</v>
      </c>
      <c r="D5">
        <f>3500</f>
        <v>3500</v>
      </c>
    </row>
    <row r="6" spans="3:7" x14ac:dyDescent="0.3">
      <c r="C6">
        <v>1990</v>
      </c>
      <c r="D6">
        <f>4900</f>
        <v>4900</v>
      </c>
    </row>
    <row r="9" spans="3:7" x14ac:dyDescent="0.3">
      <c r="D9" s="3">
        <f>(((D6/D5)^(1/G4)-1))*100</f>
        <v>3.4219694129380196</v>
      </c>
    </row>
    <row r="11" spans="3:7" x14ac:dyDescent="0.3">
      <c r="C11" s="8" t="s">
        <v>11</v>
      </c>
    </row>
    <row r="12" spans="3:7" x14ac:dyDescent="0.3">
      <c r="C12" s="8"/>
    </row>
    <row r="13" spans="3:7" x14ac:dyDescent="0.3">
      <c r="C13">
        <v>2001</v>
      </c>
      <c r="D13" s="2">
        <f>+D6*(1+(D9)/100)^11</f>
        <v>7094.7471017275438</v>
      </c>
    </row>
    <row r="14" spans="3:7" x14ac:dyDescent="0.3">
      <c r="C14">
        <v>2010</v>
      </c>
      <c r="D14" s="2">
        <f>+D6*(1+(D9)/100)^20</f>
        <v>9603.9999999999909</v>
      </c>
    </row>
    <row r="15" spans="3:7" x14ac:dyDescent="0.3">
      <c r="C15">
        <v>2020</v>
      </c>
      <c r="D15" s="2">
        <f>+D6*(1+(D9)/100)^30</f>
        <v>13445.599999999982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32D9-FB9C-45F0-8BB8-61E4F324EB0C}">
  <dimension ref="C2:L63"/>
  <sheetViews>
    <sheetView topLeftCell="A34" zoomScale="70" zoomScaleNormal="70" workbookViewId="0">
      <selection activeCell="J62" sqref="J62"/>
    </sheetView>
  </sheetViews>
  <sheetFormatPr baseColWidth="10" defaultRowHeight="14.4" x14ac:dyDescent="0.3"/>
  <sheetData>
    <row r="2" spans="3:9" ht="15" thickBot="1" x14ac:dyDescent="0.35">
      <c r="E2" t="s">
        <v>16</v>
      </c>
    </row>
    <row r="3" spans="3:9" ht="15" thickBot="1" x14ac:dyDescent="0.35">
      <c r="C3" s="39">
        <v>2006</v>
      </c>
      <c r="D3" s="4" t="s">
        <v>0</v>
      </c>
      <c r="E3" s="4">
        <v>554</v>
      </c>
      <c r="F3" s="4"/>
      <c r="G3" s="4"/>
      <c r="H3">
        <v>1</v>
      </c>
      <c r="I3">
        <f>0.0118*(H3)^3-1.0584*(H3)^2+24.729*(H3)+466.64</f>
        <v>490.32239999999996</v>
      </c>
    </row>
    <row r="4" spans="3:9" ht="15" thickBot="1" x14ac:dyDescent="0.35">
      <c r="C4" s="37"/>
      <c r="D4" s="5" t="s">
        <v>1</v>
      </c>
      <c r="E4" s="5">
        <v>465</v>
      </c>
      <c r="F4" s="6">
        <v>-0.161</v>
      </c>
      <c r="G4" s="5"/>
      <c r="H4">
        <v>2</v>
      </c>
      <c r="I4">
        <f t="shared" ref="I4:I62" si="0">0.0118*(H4)^3-1.0584*(H4)^2+24.729*(H4)+466.64</f>
        <v>511.9588</v>
      </c>
    </row>
    <row r="5" spans="3:9" ht="15" thickBot="1" x14ac:dyDescent="0.35">
      <c r="C5" s="37"/>
      <c r="D5" s="5" t="s">
        <v>2</v>
      </c>
      <c r="E5" s="5">
        <v>532</v>
      </c>
      <c r="F5" s="6">
        <v>0.14399999999999999</v>
      </c>
      <c r="G5" s="5"/>
      <c r="H5">
        <v>3</v>
      </c>
      <c r="I5">
        <f t="shared" si="0"/>
        <v>531.62</v>
      </c>
    </row>
    <row r="6" spans="3:9" ht="15" thickBot="1" x14ac:dyDescent="0.35">
      <c r="C6" s="38"/>
      <c r="D6" s="5" t="s">
        <v>3</v>
      </c>
      <c r="E6" s="5">
        <v>516</v>
      </c>
      <c r="F6" s="6">
        <v>-0.03</v>
      </c>
      <c r="G6" s="5"/>
      <c r="H6">
        <v>4</v>
      </c>
      <c r="I6">
        <f t="shared" si="0"/>
        <v>549.3768</v>
      </c>
    </row>
    <row r="7" spans="3:9" ht="15" thickBot="1" x14ac:dyDescent="0.35">
      <c r="C7" s="36">
        <v>2007</v>
      </c>
      <c r="D7" s="5" t="s">
        <v>0</v>
      </c>
      <c r="E7" s="5">
        <v>531</v>
      </c>
      <c r="F7" s="6">
        <v>2.9000000000000001E-2</v>
      </c>
      <c r="G7" s="7">
        <v>-0.04</v>
      </c>
      <c r="H7">
        <v>5</v>
      </c>
      <c r="I7">
        <f t="shared" si="0"/>
        <v>565.29999999999995</v>
      </c>
    </row>
    <row r="8" spans="3:9" ht="15" thickBot="1" x14ac:dyDescent="0.35">
      <c r="C8" s="37"/>
      <c r="D8" s="5" t="s">
        <v>1</v>
      </c>
      <c r="E8" s="5">
        <v>508</v>
      </c>
      <c r="F8" s="6">
        <v>-4.2999999999999997E-2</v>
      </c>
      <c r="G8" s="7">
        <v>0.09</v>
      </c>
      <c r="H8">
        <v>6</v>
      </c>
      <c r="I8">
        <f t="shared" si="0"/>
        <v>579.46039999999994</v>
      </c>
    </row>
    <row r="9" spans="3:9" ht="15" thickBot="1" x14ac:dyDescent="0.35">
      <c r="C9" s="37"/>
      <c r="D9" s="5" t="s">
        <v>2</v>
      </c>
      <c r="E9" s="5">
        <v>626</v>
      </c>
      <c r="F9" s="6">
        <v>0.23200000000000001</v>
      </c>
      <c r="G9" s="7">
        <v>0.18</v>
      </c>
      <c r="H9">
        <v>7</v>
      </c>
      <c r="I9">
        <f t="shared" si="0"/>
        <v>591.92880000000002</v>
      </c>
    </row>
    <row r="10" spans="3:9" ht="15" thickBot="1" x14ac:dyDescent="0.35">
      <c r="C10" s="38"/>
      <c r="D10" s="5" t="s">
        <v>3</v>
      </c>
      <c r="E10" s="5">
        <v>654</v>
      </c>
      <c r="F10" s="6">
        <v>4.4999999999999998E-2</v>
      </c>
      <c r="G10" s="7">
        <v>0.27</v>
      </c>
      <c r="H10">
        <v>8</v>
      </c>
      <c r="I10">
        <f t="shared" si="0"/>
        <v>602.77599999999995</v>
      </c>
    </row>
    <row r="11" spans="3:9" ht="15" thickBot="1" x14ac:dyDescent="0.35">
      <c r="C11" s="36">
        <v>2008</v>
      </c>
      <c r="D11" s="5" t="s">
        <v>0</v>
      </c>
      <c r="E11" s="5">
        <v>638</v>
      </c>
      <c r="F11" s="6">
        <v>-2.4E-2</v>
      </c>
      <c r="G11" s="7">
        <v>0.2</v>
      </c>
      <c r="H11">
        <v>9</v>
      </c>
      <c r="I11">
        <f t="shared" si="0"/>
        <v>612.07279999999992</v>
      </c>
    </row>
    <row r="12" spans="3:9" ht="15" thickBot="1" x14ac:dyDescent="0.35">
      <c r="C12" s="37"/>
      <c r="D12" s="5" t="s">
        <v>1</v>
      </c>
      <c r="E12" s="5">
        <v>638</v>
      </c>
      <c r="F12" s="6">
        <v>0</v>
      </c>
      <c r="G12" s="7">
        <v>0.26</v>
      </c>
      <c r="H12">
        <v>10</v>
      </c>
      <c r="I12">
        <f t="shared" si="0"/>
        <v>619.89</v>
      </c>
    </row>
    <row r="13" spans="3:9" ht="15" thickBot="1" x14ac:dyDescent="0.35">
      <c r="C13" s="37"/>
      <c r="D13" s="5" t="s">
        <v>2</v>
      </c>
      <c r="E13" s="5">
        <v>711</v>
      </c>
      <c r="F13" s="6">
        <v>0.114</v>
      </c>
      <c r="G13" s="7">
        <v>0.14000000000000001</v>
      </c>
      <c r="H13">
        <v>11</v>
      </c>
      <c r="I13">
        <f t="shared" si="0"/>
        <v>626.29840000000002</v>
      </c>
    </row>
    <row r="14" spans="3:9" ht="15" thickBot="1" x14ac:dyDescent="0.35">
      <c r="C14" s="38"/>
      <c r="D14" s="5" t="s">
        <v>3</v>
      </c>
      <c r="E14" s="5">
        <v>665</v>
      </c>
      <c r="F14" s="6">
        <v>-6.5000000000000002E-2</v>
      </c>
      <c r="G14" s="7">
        <v>0.02</v>
      </c>
      <c r="H14">
        <v>12</v>
      </c>
      <c r="I14">
        <f t="shared" si="0"/>
        <v>631.36879999999996</v>
      </c>
    </row>
    <row r="15" spans="3:9" ht="15" thickBot="1" x14ac:dyDescent="0.35">
      <c r="C15" s="36">
        <v>2009</v>
      </c>
      <c r="D15" s="5" t="s">
        <v>0</v>
      </c>
      <c r="E15" s="5">
        <v>691</v>
      </c>
      <c r="F15" s="6">
        <v>3.9E-2</v>
      </c>
      <c r="G15" s="7">
        <v>0.08</v>
      </c>
      <c r="H15">
        <v>13</v>
      </c>
      <c r="I15">
        <f t="shared" si="0"/>
        <v>635.17200000000003</v>
      </c>
    </row>
    <row r="16" spans="3:9" ht="15" thickBot="1" x14ac:dyDescent="0.35">
      <c r="C16" s="37"/>
      <c r="D16" s="5" t="s">
        <v>1</v>
      </c>
      <c r="E16" s="5">
        <v>552</v>
      </c>
      <c r="F16" s="6">
        <v>-0.20100000000000001</v>
      </c>
      <c r="G16" s="7">
        <v>-0.13</v>
      </c>
      <c r="H16">
        <v>14</v>
      </c>
      <c r="I16">
        <f t="shared" si="0"/>
        <v>637.77880000000005</v>
      </c>
    </row>
    <row r="17" spans="3:9" ht="15" thickBot="1" x14ac:dyDescent="0.35">
      <c r="C17" s="37"/>
      <c r="D17" s="5" t="s">
        <v>2</v>
      </c>
      <c r="E17" s="5">
        <v>639</v>
      </c>
      <c r="F17" s="6">
        <v>0.158</v>
      </c>
      <c r="G17" s="7">
        <v>-0.1</v>
      </c>
      <c r="H17">
        <v>15</v>
      </c>
      <c r="I17">
        <f t="shared" si="0"/>
        <v>639.26</v>
      </c>
    </row>
    <row r="18" spans="3:9" ht="15" thickBot="1" x14ac:dyDescent="0.35">
      <c r="C18" s="38"/>
      <c r="D18" s="5" t="s">
        <v>3</v>
      </c>
      <c r="E18" s="5">
        <v>680</v>
      </c>
      <c r="F18" s="6">
        <v>6.4000000000000001E-2</v>
      </c>
      <c r="G18" s="7">
        <v>0.02</v>
      </c>
      <c r="H18">
        <v>16</v>
      </c>
      <c r="I18">
        <f t="shared" si="0"/>
        <v>639.68639999999994</v>
      </c>
    </row>
    <row r="19" spans="3:9" ht="15" thickBot="1" x14ac:dyDescent="0.35">
      <c r="C19" s="36">
        <v>2010</v>
      </c>
      <c r="D19" s="5" t="s">
        <v>0</v>
      </c>
      <c r="E19" s="5">
        <v>629</v>
      </c>
      <c r="F19" s="6">
        <v>-7.4999999999999997E-2</v>
      </c>
      <c r="G19" s="7">
        <v>-0.09</v>
      </c>
      <c r="H19">
        <v>17</v>
      </c>
      <c r="I19">
        <f t="shared" si="0"/>
        <v>639.12879999999996</v>
      </c>
    </row>
    <row r="20" spans="3:9" ht="15" thickBot="1" x14ac:dyDescent="0.35">
      <c r="C20" s="37"/>
      <c r="D20" s="5" t="s">
        <v>1</v>
      </c>
      <c r="E20" s="5">
        <v>523</v>
      </c>
      <c r="F20" s="6">
        <v>-0.16900000000000001</v>
      </c>
      <c r="G20" s="7">
        <v>-0.05</v>
      </c>
      <c r="H20">
        <v>18</v>
      </c>
      <c r="I20">
        <f t="shared" si="0"/>
        <v>637.6579999999999</v>
      </c>
    </row>
    <row r="21" spans="3:9" ht="15" thickBot="1" x14ac:dyDescent="0.35">
      <c r="C21" s="37"/>
      <c r="D21" s="5" t="s">
        <v>2</v>
      </c>
      <c r="E21" s="5">
        <v>545</v>
      </c>
      <c r="F21" s="6">
        <v>4.2000000000000003E-2</v>
      </c>
      <c r="G21" s="7">
        <v>-0.15</v>
      </c>
      <c r="H21">
        <v>19</v>
      </c>
      <c r="I21">
        <f t="shared" si="0"/>
        <v>635.34479999999996</v>
      </c>
    </row>
    <row r="22" spans="3:9" ht="15" thickBot="1" x14ac:dyDescent="0.35">
      <c r="C22" s="38"/>
      <c r="D22" s="5" t="s">
        <v>3</v>
      </c>
      <c r="E22" s="5">
        <v>570</v>
      </c>
      <c r="F22" s="6">
        <v>4.5999999999999999E-2</v>
      </c>
      <c r="G22" s="7">
        <v>-0.16</v>
      </c>
      <c r="H22">
        <v>20</v>
      </c>
      <c r="I22">
        <f t="shared" si="0"/>
        <v>632.26</v>
      </c>
    </row>
    <row r="23" spans="3:9" ht="15" thickBot="1" x14ac:dyDescent="0.35">
      <c r="C23" s="36">
        <v>2011</v>
      </c>
      <c r="D23" s="5" t="s">
        <v>0</v>
      </c>
      <c r="E23" s="5">
        <v>574</v>
      </c>
      <c r="F23" s="6">
        <v>7.0000000000000001E-3</v>
      </c>
      <c r="G23" s="7">
        <v>-0.09</v>
      </c>
      <c r="H23">
        <v>21</v>
      </c>
      <c r="I23">
        <f t="shared" si="0"/>
        <v>628.47439999999995</v>
      </c>
    </row>
    <row r="24" spans="3:9" ht="15" thickBot="1" x14ac:dyDescent="0.35">
      <c r="C24" s="37"/>
      <c r="D24" s="5" t="s">
        <v>1</v>
      </c>
      <c r="E24" s="5">
        <v>612</v>
      </c>
      <c r="F24" s="6">
        <v>6.6000000000000003E-2</v>
      </c>
      <c r="G24" s="7">
        <v>0.17</v>
      </c>
      <c r="H24">
        <v>22</v>
      </c>
      <c r="I24">
        <f t="shared" si="0"/>
        <v>624.05880000000002</v>
      </c>
    </row>
    <row r="25" spans="3:9" ht="15" thickBot="1" x14ac:dyDescent="0.35">
      <c r="C25" s="37"/>
      <c r="D25" s="5" t="s">
        <v>2</v>
      </c>
      <c r="E25" s="5">
        <v>675</v>
      </c>
      <c r="F25" s="6">
        <v>0.10299999999999999</v>
      </c>
      <c r="G25" s="7">
        <v>0.24</v>
      </c>
      <c r="H25">
        <v>23</v>
      </c>
      <c r="I25">
        <f t="shared" si="0"/>
        <v>619.08399999999995</v>
      </c>
    </row>
    <row r="26" spans="3:9" ht="15" thickBot="1" x14ac:dyDescent="0.35">
      <c r="C26" s="38"/>
      <c r="D26" s="5" t="s">
        <v>3</v>
      </c>
      <c r="E26" s="5">
        <v>632</v>
      </c>
      <c r="F26" s="6">
        <v>-6.4000000000000001E-2</v>
      </c>
      <c r="G26" s="7">
        <v>0.11</v>
      </c>
      <c r="H26">
        <v>24</v>
      </c>
      <c r="I26">
        <f t="shared" si="0"/>
        <v>613.62079999999992</v>
      </c>
    </row>
    <row r="27" spans="3:9" ht="15" thickBot="1" x14ac:dyDescent="0.35">
      <c r="C27" s="36">
        <v>2012</v>
      </c>
      <c r="D27" s="5" t="s">
        <v>0</v>
      </c>
      <c r="E27" s="5">
        <v>677</v>
      </c>
      <c r="F27" s="6">
        <v>7.0999999999999994E-2</v>
      </c>
      <c r="G27" s="7">
        <v>0.18</v>
      </c>
      <c r="H27">
        <v>25</v>
      </c>
      <c r="I27">
        <f t="shared" si="0"/>
        <v>607.74</v>
      </c>
    </row>
    <row r="28" spans="3:9" ht="15" thickBot="1" x14ac:dyDescent="0.35">
      <c r="C28" s="37"/>
      <c r="D28" s="5" t="s">
        <v>1</v>
      </c>
      <c r="E28" s="5">
        <v>599</v>
      </c>
      <c r="F28" s="6">
        <v>-0.115</v>
      </c>
      <c r="G28" s="7">
        <v>-0.02</v>
      </c>
      <c r="H28">
        <v>26</v>
      </c>
      <c r="I28">
        <f t="shared" si="0"/>
        <v>601.51239999999996</v>
      </c>
    </row>
    <row r="29" spans="3:9" ht="15" thickBot="1" x14ac:dyDescent="0.35">
      <c r="C29" s="37"/>
      <c r="D29" s="5" t="s">
        <v>2</v>
      </c>
      <c r="E29" s="5">
        <v>601</v>
      </c>
      <c r="F29" s="6">
        <v>3.0000000000000001E-3</v>
      </c>
      <c r="G29" s="7">
        <v>-0.11</v>
      </c>
      <c r="H29">
        <v>27</v>
      </c>
      <c r="I29">
        <f t="shared" si="0"/>
        <v>595.00879999999995</v>
      </c>
    </row>
    <row r="30" spans="3:9" ht="15" thickBot="1" x14ac:dyDescent="0.35">
      <c r="C30" s="38"/>
      <c r="D30" s="5" t="s">
        <v>3</v>
      </c>
      <c r="E30" s="5">
        <v>623</v>
      </c>
      <c r="F30" s="6">
        <v>3.6999999999999998E-2</v>
      </c>
      <c r="G30" s="7">
        <v>-0.01</v>
      </c>
      <c r="H30">
        <v>28</v>
      </c>
      <c r="I30">
        <f t="shared" si="0"/>
        <v>588.29999999999995</v>
      </c>
    </row>
    <row r="31" spans="3:9" ht="15" thickBot="1" x14ac:dyDescent="0.35">
      <c r="C31" s="36">
        <v>2013</v>
      </c>
      <c r="D31" s="5" t="s">
        <v>0</v>
      </c>
      <c r="E31" s="5">
        <v>645</v>
      </c>
      <c r="F31" s="6">
        <v>3.5000000000000003E-2</v>
      </c>
      <c r="G31" s="7">
        <v>-0.05</v>
      </c>
      <c r="H31">
        <v>29</v>
      </c>
      <c r="I31">
        <f t="shared" si="0"/>
        <v>581.45679999999993</v>
      </c>
    </row>
    <row r="32" spans="3:9" ht="15" thickBot="1" x14ac:dyDescent="0.35">
      <c r="C32" s="37"/>
      <c r="D32" s="5" t="s">
        <v>1</v>
      </c>
      <c r="E32" s="5">
        <v>617</v>
      </c>
      <c r="F32" s="6">
        <v>-4.2999999999999997E-2</v>
      </c>
      <c r="G32" s="7">
        <v>0.03</v>
      </c>
      <c r="H32">
        <v>30</v>
      </c>
      <c r="I32">
        <f t="shared" si="0"/>
        <v>574.54999999999995</v>
      </c>
    </row>
    <row r="33" spans="3:9" ht="15" thickBot="1" x14ac:dyDescent="0.35">
      <c r="C33" s="37"/>
      <c r="D33" s="5" t="s">
        <v>2</v>
      </c>
      <c r="E33" s="5">
        <v>560</v>
      </c>
      <c r="F33" s="6">
        <v>-9.1999999999999998E-2</v>
      </c>
      <c r="G33" s="7">
        <v>-7.0000000000000007E-2</v>
      </c>
      <c r="H33">
        <v>31</v>
      </c>
      <c r="I33">
        <f t="shared" si="0"/>
        <v>567.65039999999988</v>
      </c>
    </row>
    <row r="34" spans="3:9" ht="15" thickBot="1" x14ac:dyDescent="0.35">
      <c r="C34" s="38"/>
      <c r="D34" s="5" t="s">
        <v>3</v>
      </c>
      <c r="E34" s="5">
        <v>572</v>
      </c>
      <c r="F34" s="6">
        <v>2.1000000000000001E-2</v>
      </c>
      <c r="G34" s="7">
        <v>-0.08</v>
      </c>
      <c r="H34">
        <v>32</v>
      </c>
      <c r="I34">
        <f t="shared" si="0"/>
        <v>560.82879999999989</v>
      </c>
    </row>
    <row r="35" spans="3:9" ht="15" thickBot="1" x14ac:dyDescent="0.35">
      <c r="C35" s="36">
        <v>2014</v>
      </c>
      <c r="D35" s="5" t="s">
        <v>0</v>
      </c>
      <c r="E35" s="5">
        <v>508</v>
      </c>
      <c r="F35" s="6">
        <v>-0.112</v>
      </c>
      <c r="G35" s="7">
        <v>-0.21</v>
      </c>
      <c r="H35">
        <v>33</v>
      </c>
      <c r="I35">
        <f t="shared" si="0"/>
        <v>554.15599999999995</v>
      </c>
    </row>
    <row r="36" spans="3:9" ht="15" thickBot="1" x14ac:dyDescent="0.35">
      <c r="C36" s="37"/>
      <c r="D36" s="5" t="s">
        <v>1</v>
      </c>
      <c r="E36" s="5">
        <v>505</v>
      </c>
      <c r="F36" s="6">
        <v>-6.0000000000000001E-3</v>
      </c>
      <c r="G36" s="7">
        <v>-0.18</v>
      </c>
      <c r="H36">
        <v>34</v>
      </c>
      <c r="I36">
        <f t="shared" si="0"/>
        <v>547.7027999999998</v>
      </c>
    </row>
    <row r="37" spans="3:9" ht="15" thickBot="1" x14ac:dyDescent="0.35">
      <c r="C37" s="37"/>
      <c r="D37" s="5" t="s">
        <v>2</v>
      </c>
      <c r="E37" s="5">
        <v>575</v>
      </c>
      <c r="F37" s="6">
        <v>0.13900000000000001</v>
      </c>
      <c r="G37" s="7">
        <v>0.03</v>
      </c>
      <c r="H37">
        <v>35</v>
      </c>
      <c r="I37">
        <f t="shared" si="0"/>
        <v>541.54</v>
      </c>
    </row>
    <row r="38" spans="3:9" ht="15" thickBot="1" x14ac:dyDescent="0.35">
      <c r="C38" s="38"/>
      <c r="D38" s="5" t="s">
        <v>3</v>
      </c>
      <c r="E38" s="5">
        <v>550</v>
      </c>
      <c r="F38" s="6">
        <v>-4.2999999999999997E-2</v>
      </c>
      <c r="G38" s="7">
        <v>-0.04</v>
      </c>
      <c r="H38">
        <v>36</v>
      </c>
      <c r="I38">
        <f t="shared" si="0"/>
        <v>535.73839999999984</v>
      </c>
    </row>
    <row r="39" spans="3:9" ht="15" thickBot="1" x14ac:dyDescent="0.35">
      <c r="C39" s="36">
        <v>2015</v>
      </c>
      <c r="D39" s="5" t="s">
        <v>0</v>
      </c>
      <c r="E39" s="5">
        <v>596</v>
      </c>
      <c r="F39" s="6">
        <v>8.4000000000000005E-2</v>
      </c>
      <c r="G39" s="7">
        <v>0.17</v>
      </c>
      <c r="H39">
        <v>37</v>
      </c>
      <c r="I39">
        <f t="shared" si="0"/>
        <v>530.36879999999996</v>
      </c>
    </row>
    <row r="40" spans="3:9" ht="15" thickBot="1" x14ac:dyDescent="0.35">
      <c r="C40" s="37"/>
      <c r="D40" s="5" t="s">
        <v>1</v>
      </c>
      <c r="E40" s="5">
        <v>496</v>
      </c>
      <c r="F40" s="6">
        <v>-0.16800000000000001</v>
      </c>
      <c r="G40" s="7">
        <v>-0.02</v>
      </c>
      <c r="H40">
        <v>38</v>
      </c>
      <c r="I40">
        <f t="shared" si="0"/>
        <v>525.50199999999995</v>
      </c>
    </row>
    <row r="41" spans="3:9" ht="15" thickBot="1" x14ac:dyDescent="0.35">
      <c r="C41" s="37"/>
      <c r="D41" s="5" t="s">
        <v>2</v>
      </c>
      <c r="E41" s="5">
        <v>501</v>
      </c>
      <c r="F41" s="6">
        <v>0.01</v>
      </c>
      <c r="G41" s="7">
        <v>-0.13</v>
      </c>
      <c r="H41">
        <v>39</v>
      </c>
      <c r="I41">
        <f t="shared" si="0"/>
        <v>521.2088</v>
      </c>
    </row>
    <row r="42" spans="3:9" ht="15" thickBot="1" x14ac:dyDescent="0.35">
      <c r="C42" s="38"/>
      <c r="D42" s="5" t="s">
        <v>3</v>
      </c>
      <c r="E42" s="5">
        <v>501</v>
      </c>
      <c r="F42" s="6">
        <v>0</v>
      </c>
      <c r="G42" s="7">
        <v>-0.09</v>
      </c>
      <c r="H42">
        <v>40</v>
      </c>
      <c r="I42">
        <f t="shared" si="0"/>
        <v>517.55999999999983</v>
      </c>
    </row>
    <row r="43" spans="3:9" ht="15" thickBot="1" x14ac:dyDescent="0.35">
      <c r="C43" s="36">
        <v>2016</v>
      </c>
      <c r="D43" s="5" t="s">
        <v>0</v>
      </c>
      <c r="E43" s="5">
        <v>536</v>
      </c>
      <c r="F43" s="6">
        <v>7.0000000000000007E-2</v>
      </c>
      <c r="G43" s="7">
        <v>-0.1</v>
      </c>
      <c r="H43">
        <v>41</v>
      </c>
      <c r="I43">
        <f t="shared" si="0"/>
        <v>514.62639999999999</v>
      </c>
    </row>
    <row r="44" spans="3:9" ht="15" thickBot="1" x14ac:dyDescent="0.35">
      <c r="C44" s="37"/>
      <c r="D44" s="5" t="s">
        <v>1</v>
      </c>
      <c r="E44" s="5">
        <v>505</v>
      </c>
      <c r="F44" s="6">
        <v>-5.8000000000000003E-2</v>
      </c>
      <c r="G44" s="7">
        <v>0.02</v>
      </c>
      <c r="H44">
        <v>42</v>
      </c>
      <c r="I44">
        <f t="shared" si="0"/>
        <v>512.47879999999998</v>
      </c>
    </row>
    <row r="45" spans="3:9" ht="15" thickBot="1" x14ac:dyDescent="0.35">
      <c r="C45" s="37"/>
      <c r="D45" s="5" t="s">
        <v>2</v>
      </c>
      <c r="E45" s="5">
        <v>537</v>
      </c>
      <c r="F45" s="6">
        <v>6.3E-2</v>
      </c>
      <c r="G45" s="7">
        <v>7.0000000000000007E-2</v>
      </c>
      <c r="H45">
        <v>43</v>
      </c>
      <c r="I45">
        <f t="shared" si="0"/>
        <v>511.18799999999987</v>
      </c>
    </row>
    <row r="46" spans="3:9" ht="15" thickBot="1" x14ac:dyDescent="0.35">
      <c r="C46" s="38"/>
      <c r="D46" s="5" t="s">
        <v>3</v>
      </c>
      <c r="E46" s="5">
        <v>483</v>
      </c>
      <c r="F46" s="6">
        <v>-0.10100000000000001</v>
      </c>
      <c r="G46" s="7">
        <v>-0.04</v>
      </c>
      <c r="H46">
        <v>44</v>
      </c>
      <c r="I46">
        <f t="shared" si="0"/>
        <v>510.82480000000021</v>
      </c>
    </row>
    <row r="47" spans="3:9" ht="15" thickBot="1" x14ac:dyDescent="0.35">
      <c r="C47" s="36">
        <v>2017</v>
      </c>
      <c r="D47" s="5" t="s">
        <v>0</v>
      </c>
      <c r="E47" s="5">
        <v>516</v>
      </c>
      <c r="F47" s="6">
        <v>6.8000000000000005E-2</v>
      </c>
      <c r="G47" s="7">
        <v>-0.04</v>
      </c>
      <c r="H47">
        <v>45</v>
      </c>
      <c r="I47">
        <f t="shared" si="0"/>
        <v>511.4599999999997</v>
      </c>
    </row>
    <row r="48" spans="3:9" ht="15" thickBot="1" x14ac:dyDescent="0.35">
      <c r="C48" s="37"/>
      <c r="D48" s="5" t="s">
        <v>1</v>
      </c>
      <c r="E48" s="5">
        <v>530</v>
      </c>
      <c r="F48" s="6">
        <v>2.7E-2</v>
      </c>
      <c r="G48" s="7">
        <v>0.05</v>
      </c>
      <c r="H48">
        <v>46</v>
      </c>
      <c r="I48">
        <f t="shared" si="0"/>
        <v>513.16439999999977</v>
      </c>
    </row>
    <row r="49" spans="3:12" ht="15" thickBot="1" x14ac:dyDescent="0.35">
      <c r="C49" s="37"/>
      <c r="D49" s="5" t="s">
        <v>2</v>
      </c>
      <c r="E49" s="5">
        <v>539</v>
      </c>
      <c r="F49" s="6">
        <v>1.7000000000000001E-2</v>
      </c>
      <c r="G49" s="7">
        <v>0</v>
      </c>
      <c r="H49">
        <v>47</v>
      </c>
      <c r="I49">
        <f t="shared" si="0"/>
        <v>516.00879999999995</v>
      </c>
    </row>
    <row r="50" spans="3:12" ht="15" thickBot="1" x14ac:dyDescent="0.35">
      <c r="C50" s="38"/>
      <c r="D50" s="5" t="s">
        <v>3</v>
      </c>
      <c r="E50" s="5">
        <v>520</v>
      </c>
      <c r="F50" s="6">
        <v>-3.5000000000000003E-2</v>
      </c>
      <c r="G50" s="7">
        <v>0.08</v>
      </c>
      <c r="H50">
        <v>48</v>
      </c>
      <c r="I50">
        <f t="shared" si="0"/>
        <v>520.06399999999974</v>
      </c>
    </row>
    <row r="51" spans="3:12" ht="15" thickBot="1" x14ac:dyDescent="0.35">
      <c r="C51" s="36">
        <v>2018</v>
      </c>
      <c r="D51" s="5" t="s">
        <v>0</v>
      </c>
      <c r="E51" s="5">
        <v>444</v>
      </c>
      <c r="F51" s="6">
        <v>-0.14599999999999999</v>
      </c>
      <c r="G51" s="7">
        <v>-0.14000000000000001</v>
      </c>
      <c r="H51">
        <v>49</v>
      </c>
      <c r="I51">
        <f t="shared" si="0"/>
        <v>525.40079999999978</v>
      </c>
    </row>
    <row r="52" spans="3:12" ht="15" thickBot="1" x14ac:dyDescent="0.35">
      <c r="C52" s="37"/>
      <c r="D52" s="5" t="s">
        <v>1</v>
      </c>
      <c r="E52" s="5">
        <v>538</v>
      </c>
      <c r="F52" s="6">
        <v>0.21199999999999999</v>
      </c>
      <c r="G52" s="7">
        <v>0.02</v>
      </c>
      <c r="H52">
        <v>50</v>
      </c>
      <c r="I52">
        <f t="shared" si="0"/>
        <v>532.09</v>
      </c>
    </row>
    <row r="53" spans="3:12" ht="15" thickBot="1" x14ac:dyDescent="0.35">
      <c r="C53" s="37"/>
      <c r="D53" s="5" t="s">
        <v>2</v>
      </c>
      <c r="E53" s="5">
        <v>506</v>
      </c>
      <c r="F53" s="6">
        <v>-5.8999999999999997E-2</v>
      </c>
      <c r="G53" s="7">
        <v>-0.06</v>
      </c>
      <c r="H53">
        <v>51</v>
      </c>
      <c r="I53">
        <f t="shared" si="0"/>
        <v>540.20239999999978</v>
      </c>
    </row>
    <row r="54" spans="3:12" ht="15" thickBot="1" x14ac:dyDescent="0.35">
      <c r="C54" s="38"/>
      <c r="D54" s="5" t="s">
        <v>3</v>
      </c>
      <c r="E54" s="5">
        <v>533</v>
      </c>
      <c r="F54" s="6">
        <v>5.2999999999999999E-2</v>
      </c>
      <c r="G54" s="7">
        <v>0.03</v>
      </c>
      <c r="H54">
        <v>52</v>
      </c>
      <c r="I54">
        <f t="shared" si="0"/>
        <v>549.80879999999991</v>
      </c>
    </row>
    <row r="55" spans="3:12" ht="15" thickBot="1" x14ac:dyDescent="0.35">
      <c r="C55" s="36">
        <v>2019</v>
      </c>
      <c r="D55" s="5" t="s">
        <v>0</v>
      </c>
      <c r="E55" s="5">
        <v>622</v>
      </c>
      <c r="F55" s="6">
        <v>0.16700000000000001</v>
      </c>
      <c r="G55" s="7">
        <v>0.4</v>
      </c>
      <c r="H55">
        <v>53</v>
      </c>
      <c r="I55">
        <f t="shared" si="0"/>
        <v>560.9799999999999</v>
      </c>
    </row>
    <row r="56" spans="3:12" ht="15" thickBot="1" x14ac:dyDescent="0.35">
      <c r="C56" s="37"/>
      <c r="D56" s="5" t="s">
        <v>1</v>
      </c>
      <c r="E56" s="5">
        <v>607</v>
      </c>
      <c r="F56" s="6">
        <v>-2.4E-2</v>
      </c>
      <c r="G56" s="7">
        <v>0.13</v>
      </c>
      <c r="H56">
        <v>54</v>
      </c>
      <c r="I56">
        <f t="shared" si="0"/>
        <v>573.78679999999974</v>
      </c>
    </row>
    <row r="57" spans="3:12" ht="15" thickBot="1" x14ac:dyDescent="0.35">
      <c r="C57" s="37"/>
      <c r="D57" s="5" t="s">
        <v>2</v>
      </c>
      <c r="E57" s="5">
        <v>582</v>
      </c>
      <c r="F57" s="6">
        <v>-4.1000000000000002E-2</v>
      </c>
      <c r="G57" s="7">
        <v>0.15</v>
      </c>
      <c r="H57">
        <v>55</v>
      </c>
      <c r="I57">
        <f t="shared" si="0"/>
        <v>588.30000000000007</v>
      </c>
    </row>
    <row r="58" spans="3:12" ht="15" thickBot="1" x14ac:dyDescent="0.35">
      <c r="C58" s="38"/>
      <c r="D58" s="5" t="s">
        <v>3</v>
      </c>
      <c r="E58" s="5">
        <v>630</v>
      </c>
      <c r="F58" s="6">
        <v>8.2000000000000003E-2</v>
      </c>
      <c r="G58" s="7">
        <v>0.18</v>
      </c>
      <c r="H58">
        <v>56</v>
      </c>
      <c r="I58">
        <f t="shared" si="0"/>
        <v>604.5903999999997</v>
      </c>
      <c r="J58">
        <f>SUM(E55:E58)</f>
        <v>2441</v>
      </c>
      <c r="L58">
        <v>1</v>
      </c>
    </row>
    <row r="59" spans="3:12" x14ac:dyDescent="0.3">
      <c r="C59">
        <v>2020</v>
      </c>
      <c r="H59">
        <v>57</v>
      </c>
      <c r="I59">
        <f t="shared" si="0"/>
        <v>622.72879999999998</v>
      </c>
    </row>
    <row r="60" spans="3:12" x14ac:dyDescent="0.3">
      <c r="H60">
        <v>58</v>
      </c>
      <c r="I60">
        <f t="shared" si="0"/>
        <v>642.78599999999949</v>
      </c>
    </row>
    <row r="61" spans="3:12" ht="15" thickBot="1" x14ac:dyDescent="0.35">
      <c r="H61">
        <v>59</v>
      </c>
      <c r="I61">
        <f t="shared" si="0"/>
        <v>664.83280000000025</v>
      </c>
    </row>
    <row r="62" spans="3:12" ht="15" thickBot="1" x14ac:dyDescent="0.35">
      <c r="H62">
        <v>60</v>
      </c>
      <c r="I62">
        <f>0.0118*(H62)^3-1.0584*(H62)^2+24.729*(H62)+466.64</f>
        <v>688.93999999999949</v>
      </c>
      <c r="J62">
        <f>SUM(I59:I62)</f>
        <v>2619.2875999999992</v>
      </c>
      <c r="K62" s="22">
        <f>J62/J58*100</f>
        <v>107.30387546087665</v>
      </c>
      <c r="L62" s="23">
        <f>(((J62/J58)^(1/L58)-1))*100</f>
        <v>7.3038754608766521</v>
      </c>
    </row>
    <row r="63" spans="3:12" x14ac:dyDescent="0.3">
      <c r="K63">
        <f>+(J62-J58)/J58*100</f>
        <v>7.3038754608766574</v>
      </c>
    </row>
  </sheetData>
  <mergeCells count="14">
    <mergeCell ref="C23:C26"/>
    <mergeCell ref="C3:C6"/>
    <mergeCell ref="C7:C10"/>
    <mergeCell ref="C11:C14"/>
    <mergeCell ref="C15:C18"/>
    <mergeCell ref="C19:C22"/>
    <mergeCell ref="C51:C54"/>
    <mergeCell ref="C55:C58"/>
    <mergeCell ref="C27:C30"/>
    <mergeCell ref="C31:C34"/>
    <mergeCell ref="C35:C38"/>
    <mergeCell ref="C39:C42"/>
    <mergeCell ref="C43:C46"/>
    <mergeCell ref="C47:C5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4673A-8080-4A39-8680-5BB1DE5E329F}">
  <dimension ref="B2:G30"/>
  <sheetViews>
    <sheetView topLeftCell="A16" workbookViewId="0">
      <selection activeCell="Q20" sqref="Q20"/>
    </sheetView>
  </sheetViews>
  <sheetFormatPr baseColWidth="10" defaultRowHeight="14.4" x14ac:dyDescent="0.3"/>
  <sheetData>
    <row r="2" spans="2:7" x14ac:dyDescent="0.3">
      <c r="C2" s="40" t="s">
        <v>4</v>
      </c>
      <c r="D2" s="40" t="s">
        <v>5</v>
      </c>
      <c r="E2" s="41" t="s">
        <v>6</v>
      </c>
      <c r="F2" s="41"/>
      <c r="G2" s="41"/>
    </row>
    <row r="3" spans="2:7" ht="27" customHeight="1" thickBot="1" x14ac:dyDescent="0.35">
      <c r="C3" s="40"/>
      <c r="D3" s="40"/>
      <c r="E3" s="1" t="s">
        <v>7</v>
      </c>
      <c r="F3" s="1" t="s">
        <v>8</v>
      </c>
      <c r="G3" s="1" t="s">
        <v>9</v>
      </c>
    </row>
    <row r="4" spans="2:7" ht="15" thickTop="1" x14ac:dyDescent="0.3">
      <c r="B4" s="9"/>
      <c r="C4" s="10">
        <v>2019</v>
      </c>
      <c r="D4" s="11"/>
      <c r="E4" s="11"/>
      <c r="F4" s="12">
        <f>+'HISTORICO Y PROYEC CASOS'!J58</f>
        <v>2441</v>
      </c>
      <c r="G4" s="13"/>
    </row>
    <row r="5" spans="2:7" x14ac:dyDescent="0.3">
      <c r="B5" s="14">
        <v>1</v>
      </c>
      <c r="C5" s="15">
        <v>2020</v>
      </c>
      <c r="D5" s="16">
        <v>7.2999999999999995E-2</v>
      </c>
      <c r="E5" s="17">
        <f>F5*0.95</f>
        <v>2488.3232199999993</v>
      </c>
      <c r="F5" s="17">
        <f>+'HISTORICO Y PROYEC CASOS'!J62</f>
        <v>2619.2875999999992</v>
      </c>
      <c r="G5" s="18">
        <f>F5*1.05</f>
        <v>2750.2519799999991</v>
      </c>
    </row>
    <row r="6" spans="2:7" x14ac:dyDescent="0.3">
      <c r="B6" s="14">
        <v>2</v>
      </c>
      <c r="C6" s="15">
        <v>2021</v>
      </c>
      <c r="D6" s="16">
        <v>4.8899999999999999E-2</v>
      </c>
      <c r="E6" s="17">
        <f t="shared" ref="E6:E15" si="0">F6*0.95</f>
        <v>2610.002225457999</v>
      </c>
      <c r="F6" s="17">
        <f>F5*(1+D6)</f>
        <v>2747.370763639999</v>
      </c>
      <c r="G6" s="18">
        <f t="shared" ref="G6:G15" si="1">F6*1.05</f>
        <v>2884.7393018219991</v>
      </c>
    </row>
    <row r="7" spans="2:7" x14ac:dyDescent="0.3">
      <c r="B7" s="14">
        <v>3</v>
      </c>
      <c r="C7" s="15">
        <v>2022</v>
      </c>
      <c r="D7" s="16">
        <v>3.49E-2</v>
      </c>
      <c r="E7" s="17">
        <f t="shared" si="0"/>
        <v>2700.85</v>
      </c>
      <c r="F7" s="17">
        <v>2843</v>
      </c>
      <c r="G7" s="18">
        <f t="shared" si="1"/>
        <v>2985.15</v>
      </c>
    </row>
    <row r="8" spans="2:7" x14ac:dyDescent="0.3">
      <c r="B8" s="14">
        <v>4</v>
      </c>
      <c r="C8" s="15">
        <v>2023</v>
      </c>
      <c r="D8" s="16">
        <v>2.4899999999999999E-2</v>
      </c>
      <c r="E8" s="17">
        <f t="shared" si="0"/>
        <v>2768.2999999999997</v>
      </c>
      <c r="F8" s="17">
        <v>2914</v>
      </c>
      <c r="G8" s="18">
        <f t="shared" si="1"/>
        <v>3059.7000000000003</v>
      </c>
    </row>
    <row r="9" spans="2:7" x14ac:dyDescent="0.3">
      <c r="B9" s="14">
        <v>5</v>
      </c>
      <c r="C9" s="15">
        <v>2024</v>
      </c>
      <c r="D9" s="16">
        <v>1.72E-2</v>
      </c>
      <c r="E9" s="17">
        <f t="shared" si="0"/>
        <v>2815.7999999999997</v>
      </c>
      <c r="F9" s="17">
        <v>2964</v>
      </c>
      <c r="G9" s="18">
        <f t="shared" si="1"/>
        <v>3112.2000000000003</v>
      </c>
    </row>
    <row r="10" spans="2:7" x14ac:dyDescent="0.3">
      <c r="B10" s="14">
        <v>6</v>
      </c>
      <c r="C10" s="15">
        <v>2025</v>
      </c>
      <c r="D10" s="16">
        <v>1.0800000000000001E-2</v>
      </c>
      <c r="E10" s="17">
        <f t="shared" si="0"/>
        <v>2846.2</v>
      </c>
      <c r="F10" s="17">
        <v>2996</v>
      </c>
      <c r="G10" s="18">
        <f t="shared" si="1"/>
        <v>3145.8</v>
      </c>
    </row>
    <row r="11" spans="2:7" x14ac:dyDescent="0.3">
      <c r="B11" s="14">
        <v>7</v>
      </c>
      <c r="C11" s="15">
        <v>2026</v>
      </c>
      <c r="D11" s="16">
        <v>5.4999999999999997E-3</v>
      </c>
      <c r="E11" s="17">
        <f t="shared" si="0"/>
        <v>2861.4</v>
      </c>
      <c r="F11" s="17">
        <v>3012</v>
      </c>
      <c r="G11" s="18">
        <f t="shared" si="1"/>
        <v>3162.6</v>
      </c>
    </row>
    <row r="12" spans="2:7" x14ac:dyDescent="0.3">
      <c r="B12" s="14">
        <v>8</v>
      </c>
      <c r="C12" s="15">
        <v>2027</v>
      </c>
      <c r="D12" s="16">
        <v>8.0000000000000004E-4</v>
      </c>
      <c r="E12" s="17">
        <f t="shared" si="0"/>
        <v>2864.25</v>
      </c>
      <c r="F12" s="17">
        <v>3015</v>
      </c>
      <c r="G12" s="18">
        <f t="shared" si="1"/>
        <v>3165.75</v>
      </c>
    </row>
    <row r="13" spans="2:7" x14ac:dyDescent="0.3">
      <c r="B13" s="14">
        <v>9</v>
      </c>
      <c r="C13" s="15">
        <v>2028</v>
      </c>
      <c r="D13" s="16">
        <v>-3.2000000000000002E-3</v>
      </c>
      <c r="E13" s="17">
        <f t="shared" si="0"/>
        <v>2854.75</v>
      </c>
      <c r="F13" s="17">
        <v>3005</v>
      </c>
      <c r="G13" s="18">
        <f t="shared" si="1"/>
        <v>3155.25</v>
      </c>
    </row>
    <row r="14" spans="2:7" x14ac:dyDescent="0.3">
      <c r="B14" s="14">
        <v>10</v>
      </c>
      <c r="C14" s="15">
        <v>2029</v>
      </c>
      <c r="D14" s="16">
        <v>-6.8999999999999999E-3</v>
      </c>
      <c r="E14" s="17">
        <f t="shared" si="0"/>
        <v>2835.75</v>
      </c>
      <c r="F14" s="17">
        <v>2985</v>
      </c>
      <c r="G14" s="18">
        <f t="shared" si="1"/>
        <v>3134.25</v>
      </c>
    </row>
    <row r="15" spans="2:7" ht="15" thickBot="1" x14ac:dyDescent="0.35">
      <c r="B15" s="19">
        <v>11</v>
      </c>
      <c r="C15" s="20">
        <v>2030</v>
      </c>
      <c r="D15" s="16">
        <v>-1.0200000000000001E-2</v>
      </c>
      <c r="E15" s="17">
        <f t="shared" si="0"/>
        <v>2806.2999999999997</v>
      </c>
      <c r="F15" s="21">
        <v>2954</v>
      </c>
      <c r="G15" s="18">
        <f t="shared" si="1"/>
        <v>3101.7000000000003</v>
      </c>
    </row>
    <row r="16" spans="2:7" ht="15" thickTop="1" x14ac:dyDescent="0.3"/>
    <row r="19" spans="3:6" x14ac:dyDescent="0.3">
      <c r="E19" t="s">
        <v>12</v>
      </c>
    </row>
    <row r="20" spans="3:6" x14ac:dyDescent="0.3">
      <c r="C20">
        <v>2020</v>
      </c>
      <c r="D20">
        <v>1</v>
      </c>
      <c r="E20">
        <v>7.3</v>
      </c>
      <c r="F20" s="24">
        <f>-3.47*LN(D20)+7.3</f>
        <v>7.3</v>
      </c>
    </row>
    <row r="21" spans="3:6" x14ac:dyDescent="0.3">
      <c r="C21">
        <v>2021</v>
      </c>
      <c r="D21">
        <v>2</v>
      </c>
      <c r="F21" s="24">
        <f t="shared" ref="F21:F30" si="2">-3.47*LN(D21)+7.3</f>
        <v>4.8947792834569892</v>
      </c>
    </row>
    <row r="22" spans="3:6" x14ac:dyDescent="0.3">
      <c r="C22">
        <v>2022</v>
      </c>
      <c r="D22">
        <v>3</v>
      </c>
      <c r="F22" s="24">
        <f t="shared" si="2"/>
        <v>3.4878153583216585</v>
      </c>
    </row>
    <row r="23" spans="3:6" x14ac:dyDescent="0.3">
      <c r="C23">
        <v>2023</v>
      </c>
      <c r="D23">
        <v>4</v>
      </c>
      <c r="F23" s="24">
        <f t="shared" si="2"/>
        <v>2.4895585669139795</v>
      </c>
    </row>
    <row r="24" spans="3:6" x14ac:dyDescent="0.3">
      <c r="C24">
        <v>2024</v>
      </c>
      <c r="D24">
        <v>5</v>
      </c>
      <c r="F24" s="24">
        <f t="shared" si="2"/>
        <v>1.7152504438536713</v>
      </c>
    </row>
    <row r="25" spans="3:6" x14ac:dyDescent="0.3">
      <c r="C25">
        <v>2025</v>
      </c>
      <c r="D25">
        <v>6</v>
      </c>
      <c r="F25" s="24">
        <f t="shared" si="2"/>
        <v>1.0825946417786492</v>
      </c>
    </row>
    <row r="26" spans="3:6" x14ac:dyDescent="0.3">
      <c r="C26">
        <v>2026</v>
      </c>
      <c r="D26">
        <v>7</v>
      </c>
      <c r="F26" s="24">
        <f t="shared" si="2"/>
        <v>0.5476917827780623</v>
      </c>
    </row>
    <row r="27" spans="3:6" x14ac:dyDescent="0.3">
      <c r="C27">
        <v>2027</v>
      </c>
      <c r="D27">
        <v>8</v>
      </c>
      <c r="F27" s="24">
        <f t="shared" si="2"/>
        <v>8.4337850370969747E-2</v>
      </c>
    </row>
    <row r="28" spans="3:6" x14ac:dyDescent="0.3">
      <c r="C28">
        <v>2028</v>
      </c>
      <c r="D28">
        <v>9</v>
      </c>
      <c r="F28" s="24">
        <f t="shared" si="2"/>
        <v>-0.32436928335668291</v>
      </c>
    </row>
    <row r="29" spans="3:6" x14ac:dyDescent="0.3">
      <c r="C29">
        <v>2029</v>
      </c>
      <c r="D29">
        <v>10</v>
      </c>
      <c r="F29" s="24">
        <f t="shared" si="2"/>
        <v>-0.68997027268934019</v>
      </c>
    </row>
    <row r="30" spans="3:6" x14ac:dyDescent="0.3">
      <c r="C30">
        <v>2030</v>
      </c>
      <c r="D30">
        <v>11</v>
      </c>
      <c r="E30">
        <v>-1.02</v>
      </c>
      <c r="F30" s="24">
        <f t="shared" si="2"/>
        <v>-1.020696596610347</v>
      </c>
    </row>
  </sheetData>
  <mergeCells count="3">
    <mergeCell ref="C2:C3"/>
    <mergeCell ref="D2:D3"/>
    <mergeCell ref="E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377C-EB12-4BA7-9729-CECCC7E4DBEB}">
  <dimension ref="B4:J95"/>
  <sheetViews>
    <sheetView tabSelected="1" topLeftCell="A64" workbookViewId="0">
      <selection activeCell="C70" sqref="C70"/>
    </sheetView>
  </sheetViews>
  <sheetFormatPr baseColWidth="10" defaultRowHeight="14.4" x14ac:dyDescent="0.3"/>
  <cols>
    <col min="4" max="4" width="25.88671875" customWidth="1"/>
    <col min="5" max="5" width="17.5546875" customWidth="1"/>
    <col min="6" max="6" width="15.109375" customWidth="1"/>
  </cols>
  <sheetData>
    <row r="4" spans="3:7" x14ac:dyDescent="0.3">
      <c r="C4" t="s">
        <v>17</v>
      </c>
    </row>
    <row r="5" spans="3:7" x14ac:dyDescent="0.3">
      <c r="C5" t="s">
        <v>18</v>
      </c>
    </row>
    <row r="7" spans="3:7" x14ac:dyDescent="0.3">
      <c r="D7" s="8" t="s">
        <v>33</v>
      </c>
    </row>
    <row r="9" spans="3:7" x14ac:dyDescent="0.3">
      <c r="C9" s="26" t="s">
        <v>20</v>
      </c>
      <c r="D9" s="26" t="s">
        <v>19</v>
      </c>
      <c r="E9" s="26" t="s">
        <v>21</v>
      </c>
      <c r="F9" s="31" t="s">
        <v>31</v>
      </c>
      <c r="G9" s="26"/>
    </row>
    <row r="10" spans="3:7" x14ac:dyDescent="0.3">
      <c r="C10" s="26" t="s">
        <v>27</v>
      </c>
      <c r="D10" s="26" t="s">
        <v>22</v>
      </c>
      <c r="E10" s="26">
        <v>500</v>
      </c>
      <c r="F10" s="26">
        <v>3.31</v>
      </c>
      <c r="G10" s="26">
        <f>E10*F10</f>
        <v>1655</v>
      </c>
    </row>
    <row r="11" spans="3:7" x14ac:dyDescent="0.3">
      <c r="C11" s="26" t="s">
        <v>28</v>
      </c>
      <c r="D11" s="26" t="s">
        <v>23</v>
      </c>
      <c r="E11" s="26">
        <v>400</v>
      </c>
      <c r="F11" s="26">
        <v>1.75</v>
      </c>
      <c r="G11" s="26">
        <f t="shared" ref="G11:G13" si="0">E11*F11</f>
        <v>700</v>
      </c>
    </row>
    <row r="12" spans="3:7" x14ac:dyDescent="0.3">
      <c r="C12" s="26" t="s">
        <v>29</v>
      </c>
      <c r="D12" s="26" t="s">
        <v>24</v>
      </c>
      <c r="E12" s="26">
        <v>1000</v>
      </c>
      <c r="F12" s="26">
        <v>2</v>
      </c>
      <c r="G12" s="26">
        <f t="shared" si="0"/>
        <v>2000</v>
      </c>
    </row>
    <row r="13" spans="3:7" x14ac:dyDescent="0.3">
      <c r="C13" s="26" t="s">
        <v>30</v>
      </c>
      <c r="D13" s="26" t="s">
        <v>25</v>
      </c>
      <c r="E13" s="26">
        <v>1500</v>
      </c>
      <c r="F13" s="26">
        <v>1.5</v>
      </c>
      <c r="G13" s="26">
        <f t="shared" si="0"/>
        <v>2250</v>
      </c>
    </row>
    <row r="14" spans="3:7" x14ac:dyDescent="0.3">
      <c r="G14" s="28">
        <f>SUM(G10:G13)</f>
        <v>6605</v>
      </c>
    </row>
    <row r="15" spans="3:7" x14ac:dyDescent="0.3">
      <c r="C15" t="s">
        <v>34</v>
      </c>
      <c r="E15">
        <f>1.27</f>
        <v>1.27</v>
      </c>
    </row>
    <row r="18" spans="3:7" x14ac:dyDescent="0.3">
      <c r="D18" t="s">
        <v>32</v>
      </c>
      <c r="E18" t="s">
        <v>26</v>
      </c>
      <c r="F18">
        <f>2030-2020</f>
        <v>10</v>
      </c>
    </row>
    <row r="19" spans="3:7" x14ac:dyDescent="0.3">
      <c r="C19" s="26" t="s">
        <v>20</v>
      </c>
      <c r="D19" s="26" t="s">
        <v>19</v>
      </c>
      <c r="E19" s="26" t="s">
        <v>21</v>
      </c>
      <c r="F19" s="31" t="s">
        <v>31</v>
      </c>
      <c r="G19" s="26"/>
    </row>
    <row r="20" spans="3:7" x14ac:dyDescent="0.3">
      <c r="C20" s="26" t="s">
        <v>27</v>
      </c>
      <c r="D20" s="26" t="s">
        <v>22</v>
      </c>
      <c r="E20" s="29">
        <f>+E10*(1+($E$15)/100)^$F$18</f>
        <v>567.25470157085488</v>
      </c>
      <c r="F20" s="26">
        <v>3.31</v>
      </c>
      <c r="G20" s="30">
        <f>E20*F20</f>
        <v>1877.6130621995296</v>
      </c>
    </row>
    <row r="21" spans="3:7" x14ac:dyDescent="0.3">
      <c r="C21" s="26" t="s">
        <v>28</v>
      </c>
      <c r="D21" s="26" t="s">
        <v>23</v>
      </c>
      <c r="E21" s="29"/>
      <c r="F21" s="26">
        <v>1.75</v>
      </c>
      <c r="G21" s="30">
        <f t="shared" ref="G21:G23" si="1">E21*F21</f>
        <v>0</v>
      </c>
    </row>
    <row r="22" spans="3:7" x14ac:dyDescent="0.3">
      <c r="C22" s="26" t="s">
        <v>29</v>
      </c>
      <c r="D22" s="26" t="s">
        <v>24</v>
      </c>
      <c r="E22" s="29"/>
      <c r="F22" s="26">
        <v>2</v>
      </c>
      <c r="G22" s="30">
        <f t="shared" si="1"/>
        <v>0</v>
      </c>
    </row>
    <row r="23" spans="3:7" x14ac:dyDescent="0.3">
      <c r="C23" s="26" t="s">
        <v>30</v>
      </c>
      <c r="D23" s="26" t="s">
        <v>25</v>
      </c>
      <c r="E23" s="29"/>
      <c r="F23" s="26">
        <v>1.5</v>
      </c>
      <c r="G23" s="30">
        <f t="shared" si="1"/>
        <v>0</v>
      </c>
    </row>
    <row r="24" spans="3:7" x14ac:dyDescent="0.3">
      <c r="G24" s="27">
        <f>SUM(G20:G23)</f>
        <v>1877.6130621995296</v>
      </c>
    </row>
    <row r="28" spans="3:7" x14ac:dyDescent="0.3">
      <c r="D28" s="8" t="s">
        <v>36</v>
      </c>
    </row>
    <row r="30" spans="3:7" x14ac:dyDescent="0.3">
      <c r="D30" s="8"/>
    </row>
    <row r="32" spans="3:7" x14ac:dyDescent="0.3">
      <c r="D32" t="s">
        <v>42</v>
      </c>
      <c r="E32">
        <v>35200</v>
      </c>
    </row>
    <row r="33" spans="2:10" x14ac:dyDescent="0.3">
      <c r="D33" t="s">
        <v>37</v>
      </c>
      <c r="E33" t="s">
        <v>38</v>
      </c>
    </row>
    <row r="34" spans="2:10" x14ac:dyDescent="0.3">
      <c r="D34" t="s">
        <v>43</v>
      </c>
      <c r="E34">
        <v>180</v>
      </c>
      <c r="F34" t="s">
        <v>44</v>
      </c>
      <c r="G34" t="s">
        <v>45</v>
      </c>
      <c r="I34" t="s">
        <v>48</v>
      </c>
      <c r="J34">
        <f>1*180/1000</f>
        <v>0.18</v>
      </c>
    </row>
    <row r="35" spans="2:10" x14ac:dyDescent="0.3">
      <c r="D35" t="s">
        <v>43</v>
      </c>
      <c r="E35">
        <v>200</v>
      </c>
      <c r="G35" t="s">
        <v>46</v>
      </c>
      <c r="I35" t="s">
        <v>48</v>
      </c>
      <c r="J35">
        <f>1*200/1000</f>
        <v>0.2</v>
      </c>
    </row>
    <row r="36" spans="2:10" x14ac:dyDescent="0.3">
      <c r="D36" t="s">
        <v>47</v>
      </c>
      <c r="E36">
        <f>3.2</f>
        <v>3.2</v>
      </c>
      <c r="G36" t="s">
        <v>45</v>
      </c>
    </row>
    <row r="37" spans="2:10" x14ac:dyDescent="0.3">
      <c r="D37" t="s">
        <v>47</v>
      </c>
      <c r="E37">
        <v>2.8</v>
      </c>
      <c r="G37" t="s">
        <v>46</v>
      </c>
    </row>
    <row r="39" spans="2:10" x14ac:dyDescent="0.3">
      <c r="C39" s="26" t="s">
        <v>4</v>
      </c>
      <c r="D39" s="26" t="s">
        <v>35</v>
      </c>
      <c r="E39" s="26" t="s">
        <v>39</v>
      </c>
      <c r="F39" s="26" t="s">
        <v>41</v>
      </c>
      <c r="G39" s="34" t="s">
        <v>40</v>
      </c>
    </row>
    <row r="40" spans="2:10" x14ac:dyDescent="0.3">
      <c r="C40" s="26">
        <v>2020</v>
      </c>
      <c r="D40" s="32">
        <v>35200</v>
      </c>
      <c r="E40" s="33">
        <f>D40*$J$34</f>
        <v>6336</v>
      </c>
      <c r="F40" s="33">
        <v>5000</v>
      </c>
      <c r="G40" s="33">
        <f>E40-F40</f>
        <v>1336</v>
      </c>
    </row>
    <row r="41" spans="2:10" x14ac:dyDescent="0.3">
      <c r="B41">
        <v>1</v>
      </c>
      <c r="C41" s="26">
        <v>2021</v>
      </c>
      <c r="D41" s="33">
        <f>+D40*(1+($E$36)/100)^1</f>
        <v>36326.400000000001</v>
      </c>
      <c r="E41" s="33">
        <f t="shared" ref="E41:E49" si="2">D41*$J$34</f>
        <v>6538.7520000000004</v>
      </c>
      <c r="F41" s="33">
        <v>5000</v>
      </c>
      <c r="G41" s="33">
        <f t="shared" ref="G41:G60" si="3">E41-F41</f>
        <v>1538.7520000000004</v>
      </c>
    </row>
    <row r="42" spans="2:10" x14ac:dyDescent="0.3">
      <c r="B42">
        <v>2</v>
      </c>
      <c r="C42" s="26">
        <v>2022</v>
      </c>
      <c r="D42" s="33">
        <f t="shared" ref="D42:D50" si="4">+D41*(1+($E$36)/100)^1</f>
        <v>37488.844799999999</v>
      </c>
      <c r="E42" s="33">
        <f t="shared" si="2"/>
        <v>6747.9920639999991</v>
      </c>
      <c r="F42" s="33">
        <v>5000</v>
      </c>
      <c r="G42" s="33">
        <f t="shared" si="3"/>
        <v>1747.9920639999991</v>
      </c>
    </row>
    <row r="43" spans="2:10" x14ac:dyDescent="0.3">
      <c r="B43">
        <v>3</v>
      </c>
      <c r="C43" s="26">
        <v>2023</v>
      </c>
      <c r="D43" s="33">
        <f t="shared" si="4"/>
        <v>38688.487833599997</v>
      </c>
      <c r="E43" s="33">
        <f t="shared" si="2"/>
        <v>6963.9278100479987</v>
      </c>
      <c r="F43" s="33">
        <v>5000</v>
      </c>
      <c r="G43" s="33">
        <f t="shared" si="3"/>
        <v>1963.9278100479987</v>
      </c>
      <c r="I43" s="2"/>
    </row>
    <row r="44" spans="2:10" x14ac:dyDescent="0.3">
      <c r="B44">
        <v>4</v>
      </c>
      <c r="C44" s="26">
        <v>2024</v>
      </c>
      <c r="D44" s="33">
        <f t="shared" si="4"/>
        <v>39926.519444275196</v>
      </c>
      <c r="E44" s="33">
        <f t="shared" si="2"/>
        <v>7186.7734999695349</v>
      </c>
      <c r="F44" s="33">
        <v>5000</v>
      </c>
      <c r="G44" s="33">
        <f t="shared" si="3"/>
        <v>2186.7734999695349</v>
      </c>
      <c r="I44" s="2"/>
    </row>
    <row r="45" spans="2:10" x14ac:dyDescent="0.3">
      <c r="B45">
        <v>5</v>
      </c>
      <c r="C45" s="26">
        <v>2025</v>
      </c>
      <c r="D45" s="33">
        <f t="shared" si="4"/>
        <v>41204.168066492006</v>
      </c>
      <c r="E45" s="33">
        <f t="shared" si="2"/>
        <v>7416.7502519685604</v>
      </c>
      <c r="F45" s="33">
        <v>5000</v>
      </c>
      <c r="G45" s="33">
        <f t="shared" si="3"/>
        <v>2416.7502519685604</v>
      </c>
    </row>
    <row r="46" spans="2:10" x14ac:dyDescent="0.3">
      <c r="B46">
        <v>6</v>
      </c>
      <c r="C46" s="26">
        <v>2026</v>
      </c>
      <c r="D46" s="33">
        <f t="shared" si="4"/>
        <v>42522.70144461975</v>
      </c>
      <c r="E46" s="33">
        <f t="shared" si="2"/>
        <v>7654.086260031555</v>
      </c>
      <c r="F46" s="33">
        <v>5000</v>
      </c>
      <c r="G46" s="33">
        <f t="shared" si="3"/>
        <v>2654.086260031555</v>
      </c>
    </row>
    <row r="47" spans="2:10" x14ac:dyDescent="0.3">
      <c r="B47">
        <v>7</v>
      </c>
      <c r="C47" s="26">
        <v>2027</v>
      </c>
      <c r="D47" s="33">
        <f t="shared" si="4"/>
        <v>43883.427890847583</v>
      </c>
      <c r="E47" s="33">
        <f t="shared" si="2"/>
        <v>7899.0170203525649</v>
      </c>
      <c r="F47" s="33">
        <v>5000</v>
      </c>
      <c r="G47" s="33">
        <f t="shared" si="3"/>
        <v>2899.0170203525649</v>
      </c>
    </row>
    <row r="48" spans="2:10" x14ac:dyDescent="0.3">
      <c r="B48">
        <v>8</v>
      </c>
      <c r="C48" s="26">
        <v>2028</v>
      </c>
      <c r="D48" s="33">
        <f t="shared" si="4"/>
        <v>45287.697583354704</v>
      </c>
      <c r="E48" s="33">
        <f t="shared" si="2"/>
        <v>8151.7855650038464</v>
      </c>
      <c r="F48" s="33">
        <v>5000</v>
      </c>
      <c r="G48" s="33">
        <f t="shared" si="3"/>
        <v>3151.7855650038464</v>
      </c>
    </row>
    <row r="49" spans="2:7" x14ac:dyDescent="0.3">
      <c r="B49">
        <v>9</v>
      </c>
      <c r="C49" s="26">
        <v>2029</v>
      </c>
      <c r="D49" s="33">
        <f t="shared" si="4"/>
        <v>46736.903906022053</v>
      </c>
      <c r="E49" s="33">
        <f t="shared" si="2"/>
        <v>8412.6427030839695</v>
      </c>
      <c r="F49" s="33">
        <v>5000</v>
      </c>
      <c r="G49" s="33">
        <f t="shared" si="3"/>
        <v>3412.6427030839695</v>
      </c>
    </row>
    <row r="50" spans="2:7" x14ac:dyDescent="0.3">
      <c r="B50">
        <v>10</v>
      </c>
      <c r="C50" s="26">
        <v>2030</v>
      </c>
      <c r="D50" s="33">
        <f t="shared" si="4"/>
        <v>48232.484831014757</v>
      </c>
      <c r="E50" s="33">
        <f>D50*$J$34</f>
        <v>8681.8472695826567</v>
      </c>
      <c r="F50" s="33">
        <v>5000</v>
      </c>
      <c r="G50" s="33">
        <f t="shared" si="3"/>
        <v>3681.8472695826567</v>
      </c>
    </row>
    <row r="51" spans="2:7" x14ac:dyDescent="0.3">
      <c r="B51">
        <v>11</v>
      </c>
      <c r="C51" s="26">
        <v>2031</v>
      </c>
      <c r="D51" s="33">
        <f>+D50*(1+($E$37)/100)^1</f>
        <v>49582.994406283171</v>
      </c>
      <c r="E51" s="33">
        <f>D51*$J$35</f>
        <v>9916.5988812566357</v>
      </c>
      <c r="F51" s="33">
        <v>5000</v>
      </c>
      <c r="G51" s="33">
        <f t="shared" si="3"/>
        <v>4916.5988812566357</v>
      </c>
    </row>
    <row r="52" spans="2:7" x14ac:dyDescent="0.3">
      <c r="B52">
        <v>12</v>
      </c>
      <c r="C52" s="26">
        <v>2032</v>
      </c>
      <c r="D52" s="33">
        <f t="shared" ref="D52:D60" si="5">+D51*(1+($E$37)/100)^1</f>
        <v>50971.318249659103</v>
      </c>
      <c r="E52" s="33">
        <f t="shared" ref="E52:E60" si="6">D52*$J$35</f>
        <v>10194.263649931821</v>
      </c>
      <c r="F52" s="33">
        <v>5000</v>
      </c>
      <c r="G52" s="33">
        <f t="shared" si="3"/>
        <v>5194.2636499318214</v>
      </c>
    </row>
    <row r="53" spans="2:7" x14ac:dyDescent="0.3">
      <c r="B53">
        <v>13</v>
      </c>
      <c r="C53" s="26">
        <v>2033</v>
      </c>
      <c r="D53" s="33">
        <f t="shared" si="5"/>
        <v>52398.515160649556</v>
      </c>
      <c r="E53" s="33">
        <f t="shared" si="6"/>
        <v>10479.703032129912</v>
      </c>
      <c r="F53" s="33">
        <v>5000</v>
      </c>
      <c r="G53" s="33">
        <f t="shared" si="3"/>
        <v>5479.7030321299117</v>
      </c>
    </row>
    <row r="54" spans="2:7" x14ac:dyDescent="0.3">
      <c r="B54">
        <v>14</v>
      </c>
      <c r="C54" s="26">
        <v>2034</v>
      </c>
      <c r="D54" s="33">
        <f t="shared" si="5"/>
        <v>53865.673585147742</v>
      </c>
      <c r="E54" s="33">
        <f t="shared" si="6"/>
        <v>10773.134717029548</v>
      </c>
      <c r="F54" s="33">
        <v>5000</v>
      </c>
      <c r="G54" s="33">
        <f t="shared" si="3"/>
        <v>5773.1347170295485</v>
      </c>
    </row>
    <row r="55" spans="2:7" x14ac:dyDescent="0.3">
      <c r="B55">
        <v>15</v>
      </c>
      <c r="C55" s="26">
        <v>2035</v>
      </c>
      <c r="D55" s="33">
        <f t="shared" si="5"/>
        <v>55373.912445531882</v>
      </c>
      <c r="E55" s="33">
        <f t="shared" si="6"/>
        <v>11074.782489106377</v>
      </c>
      <c r="F55" s="33">
        <v>5000</v>
      </c>
      <c r="G55" s="33">
        <f t="shared" si="3"/>
        <v>6074.7824891063774</v>
      </c>
    </row>
    <row r="56" spans="2:7" x14ac:dyDescent="0.3">
      <c r="B56">
        <v>16</v>
      </c>
      <c r="C56" s="26">
        <v>2036</v>
      </c>
      <c r="D56" s="33">
        <f t="shared" si="5"/>
        <v>56924.381994006777</v>
      </c>
      <c r="E56" s="33">
        <f t="shared" si="6"/>
        <v>11384.876398801356</v>
      </c>
      <c r="F56" s="33">
        <v>5000</v>
      </c>
      <c r="G56" s="33">
        <f t="shared" si="3"/>
        <v>6384.8763988013561</v>
      </c>
    </row>
    <row r="57" spans="2:7" x14ac:dyDescent="0.3">
      <c r="B57">
        <v>17</v>
      </c>
      <c r="C57" s="26">
        <v>2037</v>
      </c>
      <c r="D57" s="33">
        <f t="shared" si="5"/>
        <v>58518.264689838965</v>
      </c>
      <c r="E57" s="33">
        <f t="shared" si="6"/>
        <v>11703.652937967794</v>
      </c>
      <c r="F57" s="33">
        <v>5000</v>
      </c>
      <c r="G57" s="33">
        <f t="shared" si="3"/>
        <v>6703.6529379677941</v>
      </c>
    </row>
    <row r="58" spans="2:7" x14ac:dyDescent="0.3">
      <c r="B58">
        <v>18</v>
      </c>
      <c r="C58" s="26">
        <v>2038</v>
      </c>
      <c r="D58" s="33">
        <f t="shared" si="5"/>
        <v>60156.776101154457</v>
      </c>
      <c r="E58" s="33">
        <f t="shared" si="6"/>
        <v>12031.355220230893</v>
      </c>
      <c r="F58" s="33">
        <v>5000</v>
      </c>
      <c r="G58" s="33">
        <f t="shared" si="3"/>
        <v>7031.3552202308929</v>
      </c>
    </row>
    <row r="59" spans="2:7" x14ac:dyDescent="0.3">
      <c r="B59">
        <v>19</v>
      </c>
      <c r="C59" s="26">
        <v>2039</v>
      </c>
      <c r="D59" s="33">
        <f t="shared" si="5"/>
        <v>61841.165831986786</v>
      </c>
      <c r="E59" s="33">
        <f t="shared" si="6"/>
        <v>12368.233166397358</v>
      </c>
      <c r="F59" s="33">
        <v>5000</v>
      </c>
      <c r="G59" s="33">
        <f t="shared" si="3"/>
        <v>7368.2331663973582</v>
      </c>
    </row>
    <row r="60" spans="2:7" x14ac:dyDescent="0.3">
      <c r="B60">
        <v>20</v>
      </c>
      <c r="C60" s="26">
        <v>2040</v>
      </c>
      <c r="D60" s="33">
        <f t="shared" si="5"/>
        <v>63572.718475282418</v>
      </c>
      <c r="E60" s="33">
        <f t="shared" si="6"/>
        <v>12714.543695056484</v>
      </c>
      <c r="F60" s="33">
        <v>5000</v>
      </c>
      <c r="G60" s="33">
        <f t="shared" si="3"/>
        <v>7714.5436950564836</v>
      </c>
    </row>
    <row r="67" spans="2:9" x14ac:dyDescent="0.3">
      <c r="C67">
        <v>75000</v>
      </c>
    </row>
    <row r="68" spans="2:9" x14ac:dyDescent="0.3">
      <c r="C68" t="s">
        <v>53</v>
      </c>
      <c r="D68">
        <v>1.35</v>
      </c>
    </row>
    <row r="69" spans="2:9" x14ac:dyDescent="0.3">
      <c r="C69" t="s">
        <v>49</v>
      </c>
      <c r="D69" s="2">
        <v>200000</v>
      </c>
      <c r="E69" t="s">
        <v>50</v>
      </c>
    </row>
    <row r="70" spans="2:9" x14ac:dyDescent="0.3">
      <c r="C70" t="s">
        <v>51</v>
      </c>
      <c r="D70">
        <v>4.5</v>
      </c>
      <c r="E70" t="s">
        <v>52</v>
      </c>
    </row>
    <row r="71" spans="2:9" x14ac:dyDescent="0.3">
      <c r="D71">
        <v>6</v>
      </c>
      <c r="E71" t="s">
        <v>54</v>
      </c>
    </row>
    <row r="72" spans="2:9" x14ac:dyDescent="0.3">
      <c r="D72">
        <v>7.5</v>
      </c>
      <c r="E72" t="s">
        <v>55</v>
      </c>
    </row>
    <row r="73" spans="2:9" x14ac:dyDescent="0.3">
      <c r="E73" t="s">
        <v>56</v>
      </c>
      <c r="F73" t="s">
        <v>39</v>
      </c>
      <c r="H73" t="s">
        <v>57</v>
      </c>
    </row>
    <row r="74" spans="2:9" x14ac:dyDescent="0.3">
      <c r="B74">
        <v>2020</v>
      </c>
      <c r="C74">
        <v>0</v>
      </c>
      <c r="D74">
        <f>C67</f>
        <v>75000</v>
      </c>
      <c r="E74">
        <f>D69</f>
        <v>200000</v>
      </c>
      <c r="F74" s="35">
        <f>D74*D70</f>
        <v>337500</v>
      </c>
      <c r="G74" s="35">
        <f>F74-E74</f>
        <v>137500</v>
      </c>
      <c r="H74" s="35">
        <f>+G74</f>
        <v>137500</v>
      </c>
    </row>
    <row r="75" spans="2:9" x14ac:dyDescent="0.3">
      <c r="B75">
        <v>2021</v>
      </c>
      <c r="C75">
        <v>1</v>
      </c>
      <c r="D75" s="33">
        <f t="shared" ref="D75:D94" si="7">+D74*(1+($D$68)/100)^1</f>
        <v>76012.5</v>
      </c>
      <c r="E75">
        <f>E74</f>
        <v>200000</v>
      </c>
      <c r="F75" s="35">
        <f>D75*$D$70</f>
        <v>342056.25</v>
      </c>
      <c r="G75" s="35">
        <f t="shared" ref="G75:G94" si="8">F75-E75</f>
        <v>142056.25</v>
      </c>
      <c r="H75" s="35">
        <f>+H74+G75</f>
        <v>279556.25</v>
      </c>
      <c r="I75" s="35"/>
    </row>
    <row r="76" spans="2:9" x14ac:dyDescent="0.3">
      <c r="B76">
        <v>2022</v>
      </c>
      <c r="C76">
        <v>2</v>
      </c>
      <c r="D76" s="33">
        <f t="shared" si="7"/>
        <v>77038.668750000012</v>
      </c>
      <c r="E76">
        <f t="shared" ref="E76:E94" si="9">E75</f>
        <v>200000</v>
      </c>
      <c r="F76" s="35">
        <f>D76*$D$70</f>
        <v>346674.00937500002</v>
      </c>
      <c r="G76" s="35">
        <f t="shared" si="8"/>
        <v>146674.00937500002</v>
      </c>
      <c r="H76" s="35">
        <f t="shared" ref="H76:H94" si="10">+H75+G76</f>
        <v>426230.25937500002</v>
      </c>
      <c r="I76" s="35"/>
    </row>
    <row r="77" spans="2:9" x14ac:dyDescent="0.3">
      <c r="B77">
        <v>2023</v>
      </c>
      <c r="C77">
        <v>3</v>
      </c>
      <c r="D77" s="33">
        <f t="shared" si="7"/>
        <v>78078.690778125019</v>
      </c>
      <c r="E77">
        <f t="shared" si="9"/>
        <v>200000</v>
      </c>
      <c r="F77" s="35">
        <f>D77*$D$70</f>
        <v>351354.10850156262</v>
      </c>
      <c r="G77" s="35">
        <f t="shared" si="8"/>
        <v>151354.10850156262</v>
      </c>
      <c r="H77" s="35">
        <f t="shared" si="10"/>
        <v>577584.36787656264</v>
      </c>
      <c r="I77" s="35"/>
    </row>
    <row r="78" spans="2:9" x14ac:dyDescent="0.3">
      <c r="B78">
        <v>2024</v>
      </c>
      <c r="C78">
        <v>4</v>
      </c>
      <c r="D78" s="33">
        <f t="shared" si="7"/>
        <v>79132.753103629715</v>
      </c>
      <c r="E78">
        <f t="shared" si="9"/>
        <v>200000</v>
      </c>
      <c r="F78" s="35">
        <f>D78*$D$70</f>
        <v>356097.3889663337</v>
      </c>
      <c r="G78" s="35">
        <f t="shared" si="8"/>
        <v>156097.3889663337</v>
      </c>
      <c r="H78" s="35">
        <f t="shared" si="10"/>
        <v>733681.75684289634</v>
      </c>
    </row>
    <row r="79" spans="2:9" x14ac:dyDescent="0.3">
      <c r="B79">
        <v>2025</v>
      </c>
      <c r="C79">
        <v>5</v>
      </c>
      <c r="D79" s="33">
        <f t="shared" si="7"/>
        <v>80201.045270528717</v>
      </c>
      <c r="E79">
        <f t="shared" si="9"/>
        <v>200000</v>
      </c>
      <c r="F79" s="35">
        <f>D79*$D$70</f>
        <v>360904.70371737925</v>
      </c>
      <c r="G79" s="35">
        <f t="shared" si="8"/>
        <v>160904.70371737925</v>
      </c>
      <c r="H79" s="35">
        <f t="shared" si="10"/>
        <v>894586.46056027559</v>
      </c>
    </row>
    <row r="80" spans="2:9" x14ac:dyDescent="0.3">
      <c r="B80">
        <v>2026</v>
      </c>
      <c r="C80">
        <v>6</v>
      </c>
      <c r="D80" s="33">
        <f t="shared" si="7"/>
        <v>81283.759381680866</v>
      </c>
      <c r="E80">
        <f t="shared" si="9"/>
        <v>200000</v>
      </c>
      <c r="F80" s="35">
        <f>D80*$D$71</f>
        <v>487702.55629008519</v>
      </c>
      <c r="G80" s="35">
        <f t="shared" si="8"/>
        <v>287702.55629008519</v>
      </c>
      <c r="H80" s="35">
        <f t="shared" si="10"/>
        <v>1182289.0168503607</v>
      </c>
    </row>
    <row r="81" spans="2:8" x14ac:dyDescent="0.3">
      <c r="B81">
        <v>2027</v>
      </c>
      <c r="C81">
        <v>7</v>
      </c>
      <c r="D81" s="33">
        <f t="shared" si="7"/>
        <v>82381.090133333564</v>
      </c>
      <c r="E81">
        <f t="shared" si="9"/>
        <v>200000</v>
      </c>
      <c r="F81" s="35">
        <f>D81*$D$71</f>
        <v>494286.54080000136</v>
      </c>
      <c r="G81" s="35">
        <f t="shared" si="8"/>
        <v>294286.54080000136</v>
      </c>
      <c r="H81" s="35">
        <f t="shared" si="10"/>
        <v>1476575.5576503621</v>
      </c>
    </row>
    <row r="82" spans="2:8" x14ac:dyDescent="0.3">
      <c r="B82">
        <v>2028</v>
      </c>
      <c r="C82">
        <v>8</v>
      </c>
      <c r="D82" s="33">
        <f t="shared" si="7"/>
        <v>83493.23485013358</v>
      </c>
      <c r="E82">
        <f t="shared" si="9"/>
        <v>200000</v>
      </c>
      <c r="F82" s="35">
        <f>D82*$D$71</f>
        <v>500959.40910080145</v>
      </c>
      <c r="G82" s="35">
        <f t="shared" si="8"/>
        <v>300959.40910080145</v>
      </c>
      <c r="H82" s="35">
        <f t="shared" si="10"/>
        <v>1777534.9667511636</v>
      </c>
    </row>
    <row r="83" spans="2:8" x14ac:dyDescent="0.3">
      <c r="B83">
        <v>2029</v>
      </c>
      <c r="C83">
        <v>9</v>
      </c>
      <c r="D83" s="33">
        <f t="shared" si="7"/>
        <v>84620.393520610392</v>
      </c>
      <c r="E83">
        <f t="shared" si="9"/>
        <v>200000</v>
      </c>
      <c r="F83" s="35">
        <f>D83*$D$71</f>
        <v>507722.36112366233</v>
      </c>
      <c r="G83" s="35">
        <f t="shared" si="8"/>
        <v>307722.36112366233</v>
      </c>
      <c r="H83" s="35">
        <f t="shared" si="10"/>
        <v>2085257.3278748258</v>
      </c>
    </row>
    <row r="84" spans="2:8" x14ac:dyDescent="0.3">
      <c r="B84">
        <v>2030</v>
      </c>
      <c r="C84">
        <v>10</v>
      </c>
      <c r="D84" s="33">
        <f t="shared" si="7"/>
        <v>85762.768833138645</v>
      </c>
      <c r="E84">
        <f t="shared" si="9"/>
        <v>200000</v>
      </c>
      <c r="F84" s="35">
        <f>D84*$D$71</f>
        <v>514576.6129988319</v>
      </c>
      <c r="G84" s="35">
        <f t="shared" si="8"/>
        <v>314576.6129988319</v>
      </c>
      <c r="H84" s="35">
        <f t="shared" si="10"/>
        <v>2399833.9408736578</v>
      </c>
    </row>
    <row r="85" spans="2:8" x14ac:dyDescent="0.3">
      <c r="B85">
        <v>2031</v>
      </c>
      <c r="C85">
        <v>11</v>
      </c>
      <c r="D85" s="33">
        <f t="shared" si="7"/>
        <v>86920.566212386024</v>
      </c>
      <c r="E85">
        <f t="shared" si="9"/>
        <v>200000</v>
      </c>
      <c r="F85" s="35">
        <f t="shared" ref="F85:F93" si="11">D85*$D$72</f>
        <v>651904.24659289513</v>
      </c>
      <c r="G85" s="35">
        <f t="shared" si="8"/>
        <v>451904.24659289513</v>
      </c>
      <c r="H85" s="35">
        <f t="shared" si="10"/>
        <v>2851738.1874665529</v>
      </c>
    </row>
    <row r="86" spans="2:8" x14ac:dyDescent="0.3">
      <c r="B86">
        <v>2032</v>
      </c>
      <c r="C86">
        <v>12</v>
      </c>
      <c r="D86" s="33">
        <f t="shared" si="7"/>
        <v>88093.993856253248</v>
      </c>
      <c r="E86">
        <f t="shared" si="9"/>
        <v>200000</v>
      </c>
      <c r="F86" s="35">
        <f t="shared" si="11"/>
        <v>660704.95392189932</v>
      </c>
      <c r="G86" s="35">
        <f>F86-E86</f>
        <v>460704.95392189932</v>
      </c>
      <c r="H86" s="35">
        <f t="shared" si="10"/>
        <v>3312443.1413884521</v>
      </c>
    </row>
    <row r="87" spans="2:8" x14ac:dyDescent="0.3">
      <c r="B87">
        <v>2033</v>
      </c>
      <c r="C87">
        <v>13</v>
      </c>
      <c r="D87" s="33">
        <f t="shared" si="7"/>
        <v>89283.262773312672</v>
      </c>
      <c r="E87">
        <f t="shared" si="9"/>
        <v>200000</v>
      </c>
      <c r="F87" s="35">
        <f t="shared" si="11"/>
        <v>669624.47079984506</v>
      </c>
      <c r="G87" s="35">
        <f t="shared" si="8"/>
        <v>469624.47079984506</v>
      </c>
      <c r="H87" s="35">
        <f t="shared" si="10"/>
        <v>3782067.6121882973</v>
      </c>
    </row>
    <row r="88" spans="2:8" x14ac:dyDescent="0.3">
      <c r="B88">
        <v>2034</v>
      </c>
      <c r="C88">
        <v>14</v>
      </c>
      <c r="D88" s="33">
        <f t="shared" si="7"/>
        <v>90488.586820752404</v>
      </c>
      <c r="E88">
        <f t="shared" si="9"/>
        <v>200000</v>
      </c>
      <c r="F88" s="35">
        <f t="shared" si="11"/>
        <v>678664.40115564305</v>
      </c>
      <c r="G88" s="35">
        <f t="shared" si="8"/>
        <v>478664.40115564305</v>
      </c>
      <c r="H88" s="35">
        <f t="shared" si="10"/>
        <v>4260732.0133439405</v>
      </c>
    </row>
    <row r="89" spans="2:8" x14ac:dyDescent="0.3">
      <c r="B89">
        <v>2035</v>
      </c>
      <c r="C89">
        <v>15</v>
      </c>
      <c r="D89" s="33">
        <f t="shared" si="7"/>
        <v>91710.182742832563</v>
      </c>
      <c r="E89">
        <f t="shared" si="9"/>
        <v>200000</v>
      </c>
      <c r="F89" s="35">
        <f t="shared" si="11"/>
        <v>687826.37057124428</v>
      </c>
      <c r="G89" s="35">
        <f t="shared" si="8"/>
        <v>487826.37057124428</v>
      </c>
      <c r="H89" s="35">
        <f t="shared" si="10"/>
        <v>4748558.383915185</v>
      </c>
    </row>
    <row r="90" spans="2:8" x14ac:dyDescent="0.3">
      <c r="B90">
        <v>2036</v>
      </c>
      <c r="C90">
        <v>16</v>
      </c>
      <c r="D90" s="33">
        <f t="shared" si="7"/>
        <v>92948.270209860813</v>
      </c>
      <c r="E90">
        <f t="shared" si="9"/>
        <v>200000</v>
      </c>
      <c r="F90" s="35">
        <f t="shared" si="11"/>
        <v>697112.02657395613</v>
      </c>
      <c r="G90" s="35">
        <f t="shared" si="8"/>
        <v>497112.02657395613</v>
      </c>
      <c r="H90" s="35">
        <f t="shared" si="10"/>
        <v>5245670.410489141</v>
      </c>
    </row>
    <row r="91" spans="2:8" x14ac:dyDescent="0.3">
      <c r="B91">
        <v>2037</v>
      </c>
      <c r="C91">
        <v>17</v>
      </c>
      <c r="D91" s="33">
        <f t="shared" si="7"/>
        <v>94203.07185769394</v>
      </c>
      <c r="E91">
        <f t="shared" si="9"/>
        <v>200000</v>
      </c>
      <c r="F91" s="35">
        <f t="shared" si="11"/>
        <v>706523.0389327046</v>
      </c>
      <c r="G91" s="35">
        <f t="shared" si="8"/>
        <v>506523.0389327046</v>
      </c>
      <c r="H91" s="35">
        <f t="shared" si="10"/>
        <v>5752193.4494218454</v>
      </c>
    </row>
    <row r="92" spans="2:8" x14ac:dyDescent="0.3">
      <c r="B92">
        <v>2038</v>
      </c>
      <c r="C92">
        <v>18</v>
      </c>
      <c r="D92" s="33">
        <f t="shared" si="7"/>
        <v>95474.813327772819</v>
      </c>
      <c r="E92">
        <f t="shared" si="9"/>
        <v>200000</v>
      </c>
      <c r="F92" s="35">
        <f t="shared" si="11"/>
        <v>716061.09995829617</v>
      </c>
      <c r="G92" s="35">
        <f t="shared" si="8"/>
        <v>516061.09995829617</v>
      </c>
      <c r="H92" s="35">
        <f t="shared" si="10"/>
        <v>6268254.5493801413</v>
      </c>
    </row>
    <row r="93" spans="2:8" x14ac:dyDescent="0.3">
      <c r="B93">
        <v>2039</v>
      </c>
      <c r="C93">
        <v>19</v>
      </c>
      <c r="D93" s="33">
        <f t="shared" si="7"/>
        <v>96763.723307697757</v>
      </c>
      <c r="E93">
        <f t="shared" si="9"/>
        <v>200000</v>
      </c>
      <c r="F93" s="35">
        <f t="shared" si="11"/>
        <v>725727.92480773316</v>
      </c>
      <c r="G93" s="35">
        <f t="shared" si="8"/>
        <v>525727.92480773316</v>
      </c>
      <c r="H93" s="35">
        <f t="shared" si="10"/>
        <v>6793982.4741878742</v>
      </c>
    </row>
    <row r="94" spans="2:8" x14ac:dyDescent="0.3">
      <c r="B94">
        <v>2040</v>
      </c>
      <c r="C94">
        <v>20</v>
      </c>
      <c r="D94" s="33">
        <f t="shared" si="7"/>
        <v>98070.033572351676</v>
      </c>
      <c r="E94">
        <f t="shared" si="9"/>
        <v>200000</v>
      </c>
      <c r="F94" s="35">
        <f>D94*$D$72</f>
        <v>735525.25179263763</v>
      </c>
      <c r="G94" s="35">
        <f t="shared" si="8"/>
        <v>535525.25179263763</v>
      </c>
      <c r="H94" s="35">
        <f t="shared" si="10"/>
        <v>7329507.7259805119</v>
      </c>
    </row>
    <row r="95" spans="2:8" x14ac:dyDescent="0.3">
      <c r="H95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TASA CRECIMIENTO</vt:lpstr>
      <vt:lpstr>HISTORICO Y PROYEC CASOS</vt:lpstr>
      <vt:lpstr>PROYECCION SUPUESTOS</vt:lpstr>
      <vt:lpstr>DEMANDA-OFERTA</vt:lpstr>
    </vt:vector>
  </TitlesOfParts>
  <Company>Ministerio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Trujillo Raddatz</dc:creator>
  <cp:lastModifiedBy>Sandra Bravo</cp:lastModifiedBy>
  <dcterms:created xsi:type="dcterms:W3CDTF">2015-03-04T15:43:31Z</dcterms:created>
  <dcterms:modified xsi:type="dcterms:W3CDTF">2021-04-21T01:17:44Z</dcterms:modified>
</cp:coreProperties>
</file>