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5600" windowHeight="7935"/>
  </bookViews>
  <sheets>
    <sheet name="PROBLEMA 1" sheetId="1" r:id="rId1"/>
    <sheet name="PROBLEMA 2" sheetId="2" r:id="rId2"/>
    <sheet name="PROBLEMA 3" sheetId="3" r:id="rId3"/>
    <sheet name="PROBLEMA BETA.CENCOSUD" sheetId="4" r:id="rId4"/>
  </sheets>
  <calcPr calcId="145621"/>
</workbook>
</file>

<file path=xl/calcChain.xml><?xml version="1.0" encoding="utf-8"?>
<calcChain xmlns="http://schemas.openxmlformats.org/spreadsheetml/2006/main">
  <c r="D60" i="4"/>
  <c r="F58" s="1"/>
  <c r="H58" s="1"/>
  <c r="C60"/>
  <c r="E59" s="1"/>
  <c r="F56"/>
  <c r="H56" s="1"/>
  <c r="F55"/>
  <c r="H55" s="1"/>
  <c r="F51"/>
  <c r="H51" s="1"/>
  <c r="H43"/>
  <c r="D43"/>
  <c r="E43" s="1"/>
  <c r="H42"/>
  <c r="I42" s="1"/>
  <c r="D42"/>
  <c r="H41"/>
  <c r="D41"/>
  <c r="E41" s="1"/>
  <c r="H40"/>
  <c r="I40" s="1"/>
  <c r="D40"/>
  <c r="H39"/>
  <c r="D39"/>
  <c r="E39" s="1"/>
  <c r="H38"/>
  <c r="I38" s="1"/>
  <c r="D38"/>
  <c r="H37"/>
  <c r="D37"/>
  <c r="E37" s="1"/>
  <c r="H36"/>
  <c r="I36" s="1"/>
  <c r="D36"/>
  <c r="H35"/>
  <c r="D35"/>
  <c r="E35" s="1"/>
  <c r="H34"/>
  <c r="I34" s="1"/>
  <c r="D34"/>
  <c r="H33"/>
  <c r="D33"/>
  <c r="E33" s="1"/>
  <c r="H32"/>
  <c r="I33" s="1"/>
  <c r="D32"/>
  <c r="G14"/>
  <c r="I14" s="1"/>
  <c r="I39" l="1"/>
  <c r="I37"/>
  <c r="I41"/>
  <c r="E52"/>
  <c r="E34"/>
  <c r="E38"/>
  <c r="E42"/>
  <c r="F52"/>
  <c r="H52" s="1"/>
  <c r="F59"/>
  <c r="H59" s="1"/>
  <c r="I43"/>
  <c r="I35"/>
  <c r="E36"/>
  <c r="E40"/>
  <c r="E56"/>
  <c r="G56" s="1"/>
  <c r="G59"/>
  <c r="E53"/>
  <c r="E57"/>
  <c r="F49"/>
  <c r="H49" s="1"/>
  <c r="E50"/>
  <c r="G52"/>
  <c r="F53"/>
  <c r="H53" s="1"/>
  <c r="E54"/>
  <c r="F57"/>
  <c r="H57" s="1"/>
  <c r="E58"/>
  <c r="E49"/>
  <c r="F50"/>
  <c r="H50" s="1"/>
  <c r="E51"/>
  <c r="F54"/>
  <c r="H54" s="1"/>
  <c r="E55"/>
  <c r="I56" l="1"/>
  <c r="I52"/>
  <c r="I59"/>
  <c r="I55"/>
  <c r="G55"/>
  <c r="G49"/>
  <c r="I49"/>
  <c r="G57"/>
  <c r="I57"/>
  <c r="I58"/>
  <c r="G58"/>
  <c r="G53"/>
  <c r="I53"/>
  <c r="I51"/>
  <c r="G51"/>
  <c r="I50"/>
  <c r="G50"/>
  <c r="G54"/>
  <c r="I54"/>
  <c r="H60"/>
  <c r="H61" s="1"/>
  <c r="G60" l="1"/>
  <c r="G61" s="1"/>
  <c r="I60"/>
  <c r="C66" s="1"/>
  <c r="B25" i="3" l="1"/>
  <c r="B10"/>
  <c r="B9"/>
  <c r="B38" i="2"/>
  <c r="B37"/>
  <c r="C27"/>
  <c r="C26"/>
  <c r="C25"/>
  <c r="C24"/>
  <c r="C23"/>
  <c r="F19"/>
  <c r="B27" s="1"/>
  <c r="E19"/>
  <c r="B26" s="1"/>
  <c r="D19"/>
  <c r="B25" s="1"/>
  <c r="C19"/>
  <c r="B24" s="1"/>
  <c r="B19"/>
  <c r="B23" s="1"/>
  <c r="D25" i="1"/>
  <c r="D28" s="1"/>
  <c r="F21"/>
  <c r="F24" s="1"/>
  <c r="F27" s="1"/>
  <c r="F30" s="1"/>
  <c r="G23"/>
  <c r="G22"/>
  <c r="G21"/>
  <c r="E24"/>
  <c r="E27" s="1"/>
  <c r="E30" s="1"/>
  <c r="F23"/>
  <c r="F22"/>
  <c r="D24"/>
  <c r="D26" s="1"/>
  <c r="D29" s="1"/>
  <c r="C24"/>
  <c r="C27" s="1"/>
  <c r="C30" s="1"/>
  <c r="G27" l="1"/>
  <c r="G30" s="1"/>
  <c r="D31"/>
  <c r="F26"/>
  <c r="F29" s="1"/>
  <c r="F25"/>
  <c r="F28" s="1"/>
  <c r="C26"/>
  <c r="C29" s="1"/>
  <c r="E25"/>
  <c r="E28" s="1"/>
  <c r="D27"/>
  <c r="D30" s="1"/>
  <c r="E26"/>
  <c r="E29" s="1"/>
  <c r="C25"/>
  <c r="C28" s="1"/>
  <c r="C31" s="1"/>
  <c r="C32" s="1"/>
  <c r="C33" s="1"/>
  <c r="B43" i="2"/>
  <c r="C28"/>
  <c r="F27" s="1"/>
  <c r="G27" s="1"/>
  <c r="B20" i="3"/>
  <c r="B15"/>
  <c r="B27" s="1"/>
  <c r="B28" i="2"/>
  <c r="D24" s="1"/>
  <c r="F24"/>
  <c r="G24" s="1"/>
  <c r="D32" i="1"/>
  <c r="D33" s="1"/>
  <c r="G24"/>
  <c r="G26" s="1"/>
  <c r="G29" s="1"/>
  <c r="F23" i="2" l="1"/>
  <c r="G23" s="1"/>
  <c r="F25"/>
  <c r="G25" s="1"/>
  <c r="F32" i="1"/>
  <c r="F33" s="1"/>
  <c r="F31"/>
  <c r="F26" i="2"/>
  <c r="G26" s="1"/>
  <c r="G28" s="1"/>
  <c r="G29" s="1"/>
  <c r="E31" i="1"/>
  <c r="E32" s="1"/>
  <c r="E33" s="1"/>
  <c r="G25"/>
  <c r="G28" s="1"/>
  <c r="G31" s="1"/>
  <c r="G32" s="1"/>
  <c r="G33" s="1"/>
  <c r="D25" i="2"/>
  <c r="E25" s="1"/>
  <c r="D26"/>
  <c r="E26" s="1"/>
  <c r="D27"/>
  <c r="H27" s="1"/>
  <c r="D23"/>
  <c r="E23" s="1"/>
  <c r="H25"/>
  <c r="E27"/>
  <c r="E24"/>
  <c r="H24"/>
  <c r="H23" l="1"/>
  <c r="H30" s="1"/>
  <c r="G34" s="1"/>
  <c r="H26"/>
  <c r="E28"/>
  <c r="E29" s="1"/>
</calcChain>
</file>

<file path=xl/sharedStrings.xml><?xml version="1.0" encoding="utf-8"?>
<sst xmlns="http://schemas.openxmlformats.org/spreadsheetml/2006/main" count="204" uniqueCount="172">
  <si>
    <t xml:space="preserve">1.- Tres sociedades anónimas A, B y C; </t>
  </si>
  <si>
    <t>respectivas probabilidades:</t>
  </si>
  <si>
    <t>Escenario</t>
  </si>
  <si>
    <t>Probabilidad</t>
  </si>
  <si>
    <t>A</t>
  </si>
  <si>
    <t>B</t>
  </si>
  <si>
    <t>C</t>
  </si>
  <si>
    <t>Auge</t>
  </si>
  <si>
    <t>0.20</t>
  </si>
  <si>
    <t>0.15</t>
  </si>
  <si>
    <t>0.17</t>
  </si>
  <si>
    <t>0.2</t>
  </si>
  <si>
    <t>Normal</t>
  </si>
  <si>
    <t>0.65</t>
  </si>
  <si>
    <t>0.11</t>
  </si>
  <si>
    <t>0.14</t>
  </si>
  <si>
    <t>0.13</t>
  </si>
  <si>
    <t>Recesión</t>
  </si>
  <si>
    <t>-0.02</t>
  </si>
  <si>
    <t>-0.04</t>
  </si>
  <si>
    <t>-0.09</t>
  </si>
  <si>
    <t>cuyas acciones hoy valen lo mismo,</t>
  </si>
  <si>
    <t>3A2BC</t>
  </si>
  <si>
    <t xml:space="preserve"> tienen las siguientes expectativas de rentabilidad </t>
  </si>
  <si>
    <t xml:space="preserve">en los 3 escenarios que se muestran con sus </t>
  </si>
  <si>
    <t>Calcular la desviación estándar de las siguientes 4 carteras:</t>
  </si>
  <si>
    <r>
      <t>i)</t>
    </r>
    <r>
      <rPr>
        <sz val="7"/>
        <color theme="1"/>
        <rFont val="Times New Roman"/>
        <family val="1"/>
      </rPr>
      <t xml:space="preserve">                    </t>
    </r>
    <r>
      <rPr>
        <sz val="12"/>
        <color theme="1"/>
        <rFont val="Times New Roman"/>
        <family val="1"/>
      </rPr>
      <t>Cartera con 3 acciones de la empresa A</t>
    </r>
  </si>
  <si>
    <r>
      <t>ii)</t>
    </r>
    <r>
      <rPr>
        <sz val="7"/>
        <color theme="1"/>
        <rFont val="Times New Roman"/>
        <family val="1"/>
      </rPr>
      <t xml:space="preserve">                  </t>
    </r>
    <r>
      <rPr>
        <sz val="12"/>
        <color theme="1"/>
        <rFont val="Times New Roman"/>
        <family val="1"/>
      </rPr>
      <t>Cartera con 3 acciones de la Empresa B</t>
    </r>
  </si>
  <si>
    <r>
      <t>iii)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Cartera con 3 acciones de la Empresa C</t>
    </r>
  </si>
  <si>
    <r>
      <t>iv)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Cartera con una acción de cada empresa ( A, B y C)</t>
    </r>
  </si>
  <si>
    <r>
      <t>v)</t>
    </r>
    <r>
      <rPr>
        <sz val="7"/>
        <color theme="1"/>
        <rFont val="Times New Roman"/>
        <family val="1"/>
      </rPr>
      <t xml:space="preserve">                  </t>
    </r>
    <r>
      <rPr>
        <sz val="12"/>
        <color theme="1"/>
        <rFont val="Times New Roman"/>
        <family val="1"/>
      </rPr>
      <t xml:space="preserve">Cartera con 3 acciones A, 2 acciones B y una acción C (3A, 2B, C) </t>
    </r>
  </si>
  <si>
    <t>DESARROLLO:</t>
  </si>
  <si>
    <t>ABC</t>
  </si>
  <si>
    <t>E( r)</t>
  </si>
  <si>
    <t>Des.</t>
  </si>
  <si>
    <t>Des. ^2</t>
  </si>
  <si>
    <t>Var</t>
  </si>
  <si>
    <t>Des. Esta</t>
  </si>
  <si>
    <t>Des. Est*100</t>
  </si>
  <si>
    <t>2.- El mercado históricamente ha tenido una prima por riesgo de mercado del 6,8%</t>
  </si>
  <si>
    <t xml:space="preserve"> y hoy en día la rentabilidad libre de riesgo es de 3.5%.</t>
  </si>
  <si>
    <t>Las rentabilidades del mercado en los últimos 5 meses han sido de:</t>
  </si>
  <si>
    <t>7%, 11%, 12%, 5% y 14%</t>
  </si>
  <si>
    <t xml:space="preserve">Las cinco últimas rentabilidades mensuales de la empresa </t>
  </si>
  <si>
    <t>Celco han sido 1,35 veces mayores a las del mercado.</t>
  </si>
  <si>
    <t>Considerando los datos anteriores calcule: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</si>
  <si>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¿Cuánto vale el coeficiente beta de la empresa Celco?</t>
    </r>
  </si>
  <si>
    <t>a)</t>
  </si>
  <si>
    <t>Meses</t>
  </si>
  <si>
    <r>
      <t>r</t>
    </r>
    <r>
      <rPr>
        <b/>
        <i/>
        <vertAlign val="subscript"/>
        <sz val="12"/>
        <rFont val="Times New Roman"/>
        <family val="1"/>
      </rPr>
      <t>mercado</t>
    </r>
  </si>
  <si>
    <t>%</t>
  </si>
  <si>
    <r>
      <t>r</t>
    </r>
    <r>
      <rPr>
        <b/>
        <i/>
        <vertAlign val="subscript"/>
        <sz val="12"/>
        <rFont val="Times New Roman"/>
        <family val="1"/>
      </rPr>
      <t>A</t>
    </r>
  </si>
  <si>
    <t>x</t>
  </si>
  <si>
    <t>y</t>
  </si>
  <si>
    <t>meses</t>
  </si>
  <si>
    <r>
      <t>r</t>
    </r>
    <r>
      <rPr>
        <b/>
        <i/>
        <vertAlign val="subscript"/>
        <sz val="12"/>
        <rFont val="Times New Roman"/>
        <family val="1"/>
      </rPr>
      <t>m</t>
    </r>
  </si>
  <si>
    <r>
      <t>(r</t>
    </r>
    <r>
      <rPr>
        <b/>
        <vertAlign val="subscript"/>
        <sz val="10"/>
        <rFont val="Times New Roman"/>
        <family val="1"/>
      </rPr>
      <t>A</t>
    </r>
    <r>
      <rPr>
        <b/>
        <sz val="10"/>
        <rFont val="Times New Roman"/>
        <family val="1"/>
      </rPr>
      <t xml:space="preserve"> - E(r</t>
    </r>
    <r>
      <rPr>
        <b/>
        <vertAlign val="subscript"/>
        <sz val="10"/>
        <rFont val="Times New Roman"/>
        <family val="1"/>
      </rPr>
      <t>A</t>
    </r>
    <r>
      <rPr>
        <b/>
        <sz val="10"/>
        <rFont val="Times New Roman"/>
        <family val="1"/>
      </rPr>
      <t>))</t>
    </r>
  </si>
  <si>
    <r>
      <t>(r</t>
    </r>
    <r>
      <rPr>
        <b/>
        <vertAlign val="subscript"/>
        <sz val="10"/>
        <rFont val="Times New Roman"/>
        <family val="1"/>
      </rPr>
      <t>A</t>
    </r>
    <r>
      <rPr>
        <b/>
        <sz val="10"/>
        <rFont val="Times New Roman"/>
        <family val="1"/>
      </rPr>
      <t xml:space="preserve"> - E(r</t>
    </r>
    <r>
      <rPr>
        <b/>
        <vertAlign val="subscript"/>
        <sz val="10"/>
        <rFont val="Times New Roman"/>
        <family val="1"/>
      </rPr>
      <t>A</t>
    </r>
    <r>
      <rPr>
        <b/>
        <sz val="10"/>
        <rFont val="Times New Roman"/>
        <family val="1"/>
      </rPr>
      <t>))</t>
    </r>
    <r>
      <rPr>
        <b/>
        <vertAlign val="superscript"/>
        <sz val="10"/>
        <rFont val="Times New Roman"/>
        <family val="1"/>
      </rPr>
      <t>2</t>
    </r>
  </si>
  <si>
    <r>
      <t>(r</t>
    </r>
    <r>
      <rPr>
        <b/>
        <vertAlign val="subscript"/>
        <sz val="10"/>
        <rFont val="Times New Roman"/>
        <family val="1"/>
      </rPr>
      <t>m</t>
    </r>
    <r>
      <rPr>
        <b/>
        <sz val="10"/>
        <rFont val="Times New Roman"/>
        <family val="1"/>
      </rPr>
      <t xml:space="preserve"> - E(r</t>
    </r>
    <r>
      <rPr>
        <b/>
        <vertAlign val="subscript"/>
        <sz val="10"/>
        <rFont val="Times New Roman"/>
        <family val="1"/>
      </rPr>
      <t>m</t>
    </r>
    <r>
      <rPr>
        <b/>
        <sz val="10"/>
        <rFont val="Times New Roman"/>
        <family val="1"/>
      </rPr>
      <t>))</t>
    </r>
    <r>
      <rPr>
        <sz val="10"/>
        <rFont val="Arial"/>
        <family val="2"/>
      </rPr>
      <t/>
    </r>
  </si>
  <si>
    <r>
      <t>(r</t>
    </r>
    <r>
      <rPr>
        <b/>
        <vertAlign val="subscript"/>
        <sz val="10"/>
        <rFont val="Times New Roman"/>
        <family val="1"/>
      </rPr>
      <t>m</t>
    </r>
    <r>
      <rPr>
        <b/>
        <sz val="10"/>
        <rFont val="Times New Roman"/>
        <family val="1"/>
      </rPr>
      <t xml:space="preserve"> - E(r</t>
    </r>
    <r>
      <rPr>
        <b/>
        <vertAlign val="subscript"/>
        <sz val="10"/>
        <rFont val="Times New Roman"/>
        <family val="1"/>
      </rPr>
      <t>m</t>
    </r>
    <r>
      <rPr>
        <b/>
        <sz val="10"/>
        <rFont val="Times New Roman"/>
        <family val="1"/>
      </rPr>
      <t>))</t>
    </r>
    <r>
      <rPr>
        <b/>
        <vertAlign val="superscript"/>
        <sz val="10"/>
        <rFont val="Times New Roman"/>
        <family val="1"/>
      </rPr>
      <t>2</t>
    </r>
  </si>
  <si>
    <r>
      <t>(r</t>
    </r>
    <r>
      <rPr>
        <b/>
        <vertAlign val="subscript"/>
        <sz val="10"/>
        <rFont val="Times New Roman"/>
        <family val="1"/>
      </rPr>
      <t>A</t>
    </r>
    <r>
      <rPr>
        <b/>
        <sz val="10"/>
        <rFont val="Times New Roman"/>
        <family val="1"/>
      </rPr>
      <t xml:space="preserve"> - E(r</t>
    </r>
    <r>
      <rPr>
        <b/>
        <vertAlign val="subscript"/>
        <sz val="10"/>
        <rFont val="Times New Roman"/>
        <family val="1"/>
      </rPr>
      <t>A</t>
    </r>
    <r>
      <rPr>
        <b/>
        <sz val="10"/>
        <rFont val="Times New Roman"/>
        <family val="1"/>
      </rPr>
      <t>))*(rm - E(rm))</t>
    </r>
  </si>
  <si>
    <t>E(.)</t>
  </si>
  <si>
    <r>
      <t>s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 x=</t>
    </r>
  </si>
  <si>
    <r>
      <t>s</t>
    </r>
    <r>
      <rPr>
        <b/>
        <vertAlign val="superscript"/>
        <sz val="12"/>
        <rFont val="Times New Roman"/>
        <family val="1"/>
      </rPr>
      <t xml:space="preserve">2 </t>
    </r>
    <r>
      <rPr>
        <b/>
        <sz val="12"/>
        <rFont val="Times New Roman"/>
        <family val="1"/>
      </rPr>
      <t xml:space="preserve"> y=</t>
    </r>
  </si>
  <si>
    <r>
      <t>s</t>
    </r>
    <r>
      <rPr>
        <b/>
        <sz val="12"/>
        <rFont val="Times New Roman"/>
        <family val="1"/>
      </rPr>
      <t xml:space="preserve"> x=</t>
    </r>
  </si>
  <si>
    <r>
      <t>s</t>
    </r>
    <r>
      <rPr>
        <b/>
        <sz val="12"/>
        <rFont val="Times New Roman"/>
        <family val="1"/>
      </rPr>
      <t xml:space="preserve"> y=</t>
    </r>
  </si>
  <si>
    <t>cov(y,x)=</t>
  </si>
  <si>
    <t>respuesta a)</t>
  </si>
  <si>
    <t>b)</t>
  </si>
  <si>
    <r>
      <t xml:space="preserve"> r</t>
    </r>
    <r>
      <rPr>
        <b/>
        <vertAlign val="subscript"/>
        <sz val="12"/>
        <rFont val="Times New Roman"/>
        <family val="1"/>
      </rPr>
      <t>e</t>
    </r>
    <r>
      <rPr>
        <b/>
        <sz val="12"/>
        <rFont val="Times New Roman"/>
        <family val="1"/>
      </rPr>
      <t xml:space="preserve">   =     r</t>
    </r>
    <r>
      <rPr>
        <b/>
        <vertAlign val="subscript"/>
        <sz val="12"/>
        <rFont val="Times New Roman"/>
        <family val="1"/>
      </rPr>
      <t>f</t>
    </r>
    <r>
      <rPr>
        <b/>
        <sz val="12"/>
        <rFont val="Times New Roman"/>
        <family val="1"/>
      </rPr>
      <t xml:space="preserve">     +     </t>
    </r>
    <r>
      <rPr>
        <b/>
        <sz val="12"/>
        <rFont val="Symbol"/>
        <family val="1"/>
        <charset val="2"/>
      </rPr>
      <t>b</t>
    </r>
    <r>
      <rPr>
        <b/>
        <sz val="12"/>
        <rFont val="Times New Roman"/>
        <family val="1"/>
      </rPr>
      <t xml:space="preserve"> * (E(r</t>
    </r>
    <r>
      <rPr>
        <b/>
        <vertAlign val="subscript"/>
        <sz val="12"/>
        <rFont val="Times New Roman"/>
        <family val="1"/>
      </rPr>
      <t>m</t>
    </r>
    <r>
      <rPr>
        <b/>
        <sz val="12"/>
        <rFont val="Times New Roman"/>
        <family val="1"/>
      </rPr>
      <t>) -  E(r</t>
    </r>
    <r>
      <rPr>
        <b/>
        <vertAlign val="subscript"/>
        <sz val="12"/>
        <rFont val="Times New Roman"/>
        <family val="1"/>
      </rPr>
      <t>f</t>
    </r>
    <r>
      <rPr>
        <b/>
        <sz val="12"/>
        <rFont val="Times New Roman"/>
        <family val="1"/>
      </rPr>
      <t>))</t>
    </r>
  </si>
  <si>
    <t>datos</t>
  </si>
  <si>
    <t>rm-rf=</t>
  </si>
  <si>
    <t>historica</t>
  </si>
  <si>
    <t>hoy dia</t>
  </si>
  <si>
    <t>rentabilidad esperada del proyecto</t>
  </si>
  <si>
    <t xml:space="preserve">con B=1 </t>
  </si>
  <si>
    <t>re=re del mercado</t>
  </si>
  <si>
    <t>re= prima libre de riesgo hoy día + prima libre de riesgo historica</t>
  </si>
  <si>
    <t>re=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</si>
  <si>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 cuanto estima usted hoy la rentabilidad esperada del mercado y de la empresa Celco?</t>
    </r>
  </si>
  <si>
    <r>
      <t>b</t>
    </r>
    <r>
      <rPr>
        <b/>
        <vertAlign val="subscript"/>
        <sz val="12"/>
        <rFont val="Lucida Handwriting"/>
        <family val="4"/>
      </rPr>
      <t xml:space="preserve">   </t>
    </r>
    <r>
      <rPr>
        <b/>
        <sz val="12"/>
        <rFont val="Lucida Handwriting"/>
        <family val="4"/>
      </rPr>
      <t xml:space="preserve"> =</t>
    </r>
  </si>
  <si>
    <r>
      <t>cov(y,x)  / s</t>
    </r>
    <r>
      <rPr>
        <b/>
        <vertAlign val="superscript"/>
        <sz val="12"/>
        <rFont val="Lucida Handwriting"/>
        <family val="4"/>
      </rPr>
      <t>2</t>
    </r>
    <r>
      <rPr>
        <b/>
        <sz val="12"/>
        <rFont val="Lucida Handwriting"/>
        <family val="4"/>
      </rPr>
      <t>(y)</t>
    </r>
  </si>
  <si>
    <r>
      <t>b</t>
    </r>
    <r>
      <rPr>
        <b/>
        <vertAlign val="subscript"/>
        <sz val="12"/>
        <rFont val="Lucida Handwriting"/>
        <family val="4"/>
      </rPr>
      <t xml:space="preserve"> </t>
    </r>
    <r>
      <rPr>
        <b/>
        <sz val="12"/>
        <rFont val="Lucida Handwriting"/>
        <family val="4"/>
      </rPr>
      <t xml:space="preserve"> =</t>
    </r>
  </si>
  <si>
    <r>
      <t xml:space="preserve"> r</t>
    </r>
    <r>
      <rPr>
        <b/>
        <vertAlign val="subscript"/>
        <sz val="12"/>
        <rFont val="Lucida Calligraphy"/>
        <family val="4"/>
      </rPr>
      <t>e</t>
    </r>
    <r>
      <rPr>
        <b/>
        <sz val="12"/>
        <rFont val="Lucida Calligraphy"/>
        <family val="4"/>
      </rPr>
      <t xml:space="preserve">   =     r</t>
    </r>
    <r>
      <rPr>
        <b/>
        <vertAlign val="subscript"/>
        <sz val="12"/>
        <rFont val="Lucida Calligraphy"/>
        <family val="4"/>
      </rPr>
      <t>f</t>
    </r>
    <r>
      <rPr>
        <b/>
        <sz val="12"/>
        <rFont val="Lucida Calligraphy"/>
        <family val="4"/>
      </rPr>
      <t xml:space="preserve">     +     b * (E(r</t>
    </r>
    <r>
      <rPr>
        <b/>
        <vertAlign val="subscript"/>
        <sz val="12"/>
        <rFont val="Lucida Calligraphy"/>
        <family val="4"/>
      </rPr>
      <t>m</t>
    </r>
    <r>
      <rPr>
        <b/>
        <sz val="12"/>
        <rFont val="Lucida Calligraphy"/>
        <family val="4"/>
      </rPr>
      <t>) -  E(r</t>
    </r>
    <r>
      <rPr>
        <b/>
        <vertAlign val="subscript"/>
        <sz val="12"/>
        <rFont val="Lucida Calligraphy"/>
        <family val="4"/>
      </rPr>
      <t>f</t>
    </r>
    <r>
      <rPr>
        <b/>
        <sz val="12"/>
        <rFont val="Lucida Calligraphy"/>
        <family val="4"/>
      </rPr>
      <t>))</t>
    </r>
  </si>
  <si>
    <t xml:space="preserve">3.- Una empresa con un 30% de deuda tiene un beta de sus acciones de 1,2; </t>
  </si>
  <si>
    <t xml:space="preserve">la rentabilidad libre de riesgo es de un 2,5% y </t>
  </si>
  <si>
    <t xml:space="preserve">la prima histórica por riesgo de mercado es </t>
  </si>
  <si>
    <t>de 7,5%; la deuda tiene una tasa de interés del 8%. Calcular:</t>
  </si>
  <si>
    <t>a) ¿Cual es la rentabilidad esperada por los accionistas con esta deuda?</t>
  </si>
  <si>
    <t>b) ¿Cuál sería el beta de sus acciones si la empresa paga toda su deuda?</t>
  </si>
  <si>
    <t>c) ¿Cuál sería la rentabilidad esperada por los accionistas después de pagar la deuda?</t>
  </si>
  <si>
    <t>Datos</t>
  </si>
  <si>
    <t>re= r free+ B(rm-rf)</t>
  </si>
  <si>
    <t>Bdeuda= (rd-r free)/ (rm-rf)</t>
  </si>
  <si>
    <t>Bdeuda=</t>
  </si>
  <si>
    <t>D/V=</t>
  </si>
  <si>
    <t>P/V=</t>
  </si>
  <si>
    <t>(D/V)*rd=</t>
  </si>
  <si>
    <t xml:space="preserve">rentabilidad free= </t>
  </si>
  <si>
    <t>Deuda</t>
  </si>
  <si>
    <t>Beta</t>
  </si>
  <si>
    <t>rm-rf</t>
  </si>
  <si>
    <t>rdeuda</t>
  </si>
  <si>
    <t>Fórmula</t>
  </si>
  <si>
    <r>
      <t>Problema r</t>
    </r>
    <r>
      <rPr>
        <b/>
        <vertAlign val="subscript"/>
        <sz val="12"/>
        <rFont val="Times New Roman"/>
        <family val="1"/>
      </rPr>
      <t>e</t>
    </r>
    <r>
      <rPr>
        <b/>
        <sz val="12"/>
        <rFont val="Times New Roman"/>
        <family val="1"/>
      </rPr>
      <t xml:space="preserve"> de Cencosud</t>
    </r>
  </si>
  <si>
    <t>Petit-Control CAPM Junio 2012</t>
  </si>
  <si>
    <r>
      <t xml:space="preserve">A través del cálculo del coeficiente </t>
    </r>
    <r>
      <rPr>
        <b/>
        <i/>
        <sz val="12"/>
        <rFont val="Symbol"/>
        <family val="1"/>
        <charset val="2"/>
      </rPr>
      <t>b</t>
    </r>
    <r>
      <rPr>
        <sz val="12"/>
        <rFont val="Symbol"/>
        <family val="1"/>
        <charset val="2"/>
      </rPr>
      <t xml:space="preserve"> </t>
    </r>
    <r>
      <rPr>
        <sz val="12"/>
        <rFont val="Times New Roman"/>
        <family val="1"/>
      </rPr>
      <t>calcular la rentabilidad esperada por los accionistas.</t>
    </r>
  </si>
  <si>
    <t>Establecer si existe un sistema económico de referencia para la relación riesgo - rentabilidad</t>
  </si>
  <si>
    <t>-   determinar si existe un mercado de capitales eficiente en su forma fuerte.</t>
  </si>
  <si>
    <t>-   determinar si existen activos cuyas rentabilidades dependen del "riesgo".</t>
  </si>
  <si>
    <t>Estimaciones de las variables principales:</t>
  </si>
  <si>
    <r>
      <t>-   rentabilidad libre de riesgo (</t>
    </r>
    <r>
      <rPr>
        <b/>
        <sz val="12"/>
        <rFont val="Times New Roman"/>
        <family val="1"/>
      </rPr>
      <t>r</t>
    </r>
    <r>
      <rPr>
        <b/>
        <vertAlign val="subscript"/>
        <sz val="12"/>
        <rFont val="Times New Roman"/>
        <family val="1"/>
      </rPr>
      <t>f</t>
    </r>
    <r>
      <rPr>
        <sz val="12"/>
        <rFont val="Times New Roman"/>
        <family val="1"/>
      </rPr>
      <t>) - se obtiene de la página Internet del Banco Central</t>
    </r>
  </si>
  <si>
    <r>
      <t>-   historia rentabilidades de mercado (</t>
    </r>
    <r>
      <rPr>
        <b/>
        <sz val="12"/>
        <rFont val="Times New Roman"/>
        <family val="1"/>
      </rPr>
      <t>r</t>
    </r>
    <r>
      <rPr>
        <b/>
        <vertAlign val="subscript"/>
        <sz val="12"/>
        <rFont val="Times New Roman"/>
        <family val="1"/>
      </rPr>
      <t>m</t>
    </r>
    <r>
      <rPr>
        <sz val="12"/>
        <rFont val="Times New Roman"/>
        <family val="1"/>
      </rPr>
      <t>) - se obtiene de Internet de la Bolsa de Santiago (y)</t>
    </r>
  </si>
  <si>
    <r>
      <t>-   historia rentabilidades del activo (</t>
    </r>
    <r>
      <rPr>
        <b/>
        <sz val="12"/>
        <rFont val="Times New Roman"/>
        <family val="1"/>
      </rPr>
      <t>r</t>
    </r>
    <r>
      <rPr>
        <b/>
        <vertAlign val="subscript"/>
        <sz val="12"/>
        <rFont val="Times New Roman"/>
        <family val="1"/>
      </rPr>
      <t>e</t>
    </r>
    <r>
      <rPr>
        <sz val="12"/>
        <rFont val="Times New Roman"/>
        <family val="1"/>
      </rPr>
      <t>)  - se obtiene de Internet de la Bolsa de Santiago (x)</t>
    </r>
  </si>
  <si>
    <r>
      <t xml:space="preserve">Cálculos básicos entre las rentabilidades del activo y del mercado </t>
    </r>
    <r>
      <rPr>
        <b/>
        <i/>
        <sz val="12"/>
        <rFont val="Times New Roman"/>
        <family val="1"/>
      </rPr>
      <t>cov(y,x)</t>
    </r>
    <r>
      <rPr>
        <sz val="12"/>
        <rFont val="Times New Roman"/>
        <family val="1"/>
      </rPr>
      <t xml:space="preserve"> y </t>
    </r>
    <r>
      <rPr>
        <b/>
        <i/>
        <sz val="12"/>
        <rFont val="Symbol"/>
        <family val="1"/>
        <charset val="2"/>
      </rPr>
      <t>b</t>
    </r>
    <r>
      <rPr>
        <b/>
        <i/>
        <vertAlign val="subscript"/>
        <sz val="12"/>
        <rFont val="Times New Roman"/>
        <family val="1"/>
      </rPr>
      <t>y</t>
    </r>
  </si>
  <si>
    <t>Cálculo de la rentabilidad exigida por los accionistas (CAPM)</t>
  </si>
  <si>
    <r>
      <t>r</t>
    </r>
    <r>
      <rPr>
        <b/>
        <vertAlign val="subscript"/>
        <sz val="12"/>
        <rFont val="Times New Roman"/>
        <family val="1"/>
      </rPr>
      <t>e</t>
    </r>
    <r>
      <rPr>
        <b/>
        <sz val="12"/>
        <rFont val="Times New Roman"/>
        <family val="1"/>
      </rPr>
      <t xml:space="preserve"> =  r</t>
    </r>
    <r>
      <rPr>
        <b/>
        <vertAlign val="subscript"/>
        <sz val="12"/>
        <rFont val="Times New Roman"/>
        <family val="1"/>
      </rPr>
      <t>f</t>
    </r>
    <r>
      <rPr>
        <b/>
        <sz val="12"/>
        <rFont val="Times New Roman"/>
        <family val="1"/>
      </rPr>
      <t xml:space="preserve">  +  </t>
    </r>
    <r>
      <rPr>
        <b/>
        <sz val="12"/>
        <rFont val="Symbol"/>
        <family val="1"/>
        <charset val="2"/>
      </rPr>
      <t>b</t>
    </r>
    <r>
      <rPr>
        <b/>
        <sz val="12"/>
        <rFont val="Times New Roman"/>
        <family val="1"/>
      </rPr>
      <t xml:space="preserve"> * (r</t>
    </r>
    <r>
      <rPr>
        <b/>
        <vertAlign val="subscript"/>
        <sz val="12"/>
        <rFont val="Times New Roman"/>
        <family val="1"/>
      </rPr>
      <t>m</t>
    </r>
    <r>
      <rPr>
        <b/>
        <sz val="12"/>
        <rFont val="Times New Roman"/>
        <family val="1"/>
      </rPr>
      <t xml:space="preserve"> - r</t>
    </r>
    <r>
      <rPr>
        <b/>
        <vertAlign val="subscript"/>
        <sz val="12"/>
        <rFont val="Times New Roman"/>
        <family val="1"/>
      </rPr>
      <t>f</t>
    </r>
    <r>
      <rPr>
        <b/>
        <sz val="12"/>
        <rFont val="Times New Roman"/>
        <family val="1"/>
      </rPr>
      <t>)</t>
    </r>
  </si>
  <si>
    <r>
      <t>Cálculo del beta (</t>
    </r>
    <r>
      <rPr>
        <b/>
        <sz val="12"/>
        <rFont val="Symbol"/>
        <family val="1"/>
        <charset val="2"/>
      </rPr>
      <t>b</t>
    </r>
    <r>
      <rPr>
        <b/>
        <sz val="12"/>
        <rFont val="Times New Roman"/>
        <family val="1"/>
      </rPr>
      <t>) de Cencosud en junio de 2012:</t>
    </r>
  </si>
  <si>
    <r>
      <t xml:space="preserve">Estimación de tasa de interés libre de riesgo ( </t>
    </r>
    <r>
      <rPr>
        <b/>
        <sz val="12"/>
        <rFont val="Times New Roman"/>
        <family val="1"/>
      </rPr>
      <t>r</t>
    </r>
    <r>
      <rPr>
        <b/>
        <vertAlign val="subscript"/>
        <sz val="12"/>
        <rFont val="Times New Roman"/>
        <family val="1"/>
      </rPr>
      <t xml:space="preserve">f </t>
    </r>
    <r>
      <rPr>
        <sz val="12"/>
        <rFont val="Times New Roman"/>
        <family val="1"/>
      </rPr>
      <t>) a partir de Pagarés 90 días Banco Central:</t>
    </r>
  </si>
  <si>
    <t>Rentabilidad PDBC Junio 2012</t>
  </si>
  <si>
    <r>
      <t>r</t>
    </r>
    <r>
      <rPr>
        <vertAlign val="subscript"/>
        <sz val="12"/>
        <rFont val="Times New Roman"/>
        <family val="1"/>
      </rPr>
      <t>anual</t>
    </r>
  </si>
  <si>
    <r>
      <t>r</t>
    </r>
    <r>
      <rPr>
        <vertAlign val="subscript"/>
        <sz val="12"/>
        <rFont val="Times New Roman"/>
        <family val="1"/>
      </rPr>
      <t>mensual</t>
    </r>
  </si>
  <si>
    <t>La rentabilidad de mercado (IGPA)</t>
  </si>
  <si>
    <t>La rentabilidad del activo (Precio acción Cencosud)</t>
  </si>
  <si>
    <t>15-May</t>
  </si>
  <si>
    <t>15-Jun</t>
  </si>
  <si>
    <t>15-Jul</t>
  </si>
  <si>
    <t>15-Ago</t>
  </si>
  <si>
    <t>15-Sep</t>
  </si>
  <si>
    <t>15-Oct</t>
  </si>
  <si>
    <t>15-Nov</t>
  </si>
  <si>
    <t>15-Dic</t>
  </si>
  <si>
    <t>15-Ene</t>
  </si>
  <si>
    <t>15-Feb</t>
  </si>
  <si>
    <t>15-Mar</t>
  </si>
  <si>
    <t>15-Abr</t>
  </si>
  <si>
    <t>estimacion de la tasa de int del mercado (rm)</t>
  </si>
  <si>
    <t>estimacion de la tasa de int del activo</t>
  </si>
  <si>
    <t>IPGA</t>
  </si>
  <si>
    <t>indice base</t>
  </si>
  <si>
    <t>rm</t>
  </si>
  <si>
    <t>precio</t>
  </si>
  <si>
    <t>indice precio</t>
  </si>
  <si>
    <t>re</t>
  </si>
  <si>
    <r>
      <t>x</t>
    </r>
    <r>
      <rPr>
        <b/>
        <vertAlign val="subscript"/>
        <sz val="10"/>
        <rFont val="Times New Roman"/>
        <family val="1"/>
      </rPr>
      <t>i</t>
    </r>
  </si>
  <si>
    <r>
      <t>y</t>
    </r>
    <r>
      <rPr>
        <b/>
        <vertAlign val="subscript"/>
        <sz val="10"/>
        <rFont val="Times New Roman"/>
        <family val="1"/>
      </rPr>
      <t>i</t>
    </r>
  </si>
  <si>
    <r>
      <t>x</t>
    </r>
    <r>
      <rPr>
        <b/>
        <vertAlign val="subscript"/>
        <sz val="10"/>
        <rFont val="Times New Roman"/>
        <family val="1"/>
      </rPr>
      <t xml:space="preserve">i </t>
    </r>
    <r>
      <rPr>
        <b/>
        <sz val="10"/>
        <rFont val="Times New Roman"/>
        <family val="1"/>
      </rPr>
      <t>-E(X)</t>
    </r>
  </si>
  <si>
    <r>
      <t>y</t>
    </r>
    <r>
      <rPr>
        <b/>
        <vertAlign val="subscript"/>
        <sz val="10"/>
        <rFont val="Times New Roman"/>
        <family val="1"/>
      </rPr>
      <t>i</t>
    </r>
    <r>
      <rPr>
        <b/>
        <sz val="10"/>
        <rFont val="Times New Roman"/>
        <family val="1"/>
      </rPr>
      <t xml:space="preserve"> - E(Y)</t>
    </r>
  </si>
  <si>
    <r>
      <t>[x</t>
    </r>
    <r>
      <rPr>
        <b/>
        <vertAlign val="subscript"/>
        <sz val="10"/>
        <rFont val="Times New Roman"/>
        <family val="1"/>
      </rPr>
      <t xml:space="preserve">i </t>
    </r>
    <r>
      <rPr>
        <b/>
        <sz val="10"/>
        <rFont val="Times New Roman"/>
        <family val="1"/>
      </rPr>
      <t>-E(X)]</t>
    </r>
    <r>
      <rPr>
        <b/>
        <vertAlign val="superscript"/>
        <sz val="10"/>
        <rFont val="Times New Roman"/>
        <family val="1"/>
      </rPr>
      <t>2</t>
    </r>
  </si>
  <si>
    <r>
      <t>[y</t>
    </r>
    <r>
      <rPr>
        <b/>
        <vertAlign val="subscript"/>
        <sz val="10"/>
        <rFont val="Times New Roman"/>
        <family val="1"/>
      </rPr>
      <t>i</t>
    </r>
    <r>
      <rPr>
        <b/>
        <sz val="10"/>
        <rFont val="Times New Roman"/>
        <family val="1"/>
      </rPr>
      <t xml:space="preserve"> - E(Y)]</t>
    </r>
    <r>
      <rPr>
        <b/>
        <vertAlign val="superscript"/>
        <sz val="10"/>
        <rFont val="Times New Roman"/>
        <family val="1"/>
      </rPr>
      <t>2</t>
    </r>
  </si>
  <si>
    <r>
      <t>[x</t>
    </r>
    <r>
      <rPr>
        <b/>
        <vertAlign val="subscript"/>
        <sz val="10"/>
        <rFont val="Times New Roman"/>
        <family val="1"/>
      </rPr>
      <t xml:space="preserve">i </t>
    </r>
    <r>
      <rPr>
        <b/>
        <sz val="10"/>
        <rFont val="Times New Roman"/>
        <family val="1"/>
      </rPr>
      <t>-E(X)]*[y</t>
    </r>
    <r>
      <rPr>
        <b/>
        <vertAlign val="subscript"/>
        <sz val="10"/>
        <rFont val="Times New Roman"/>
        <family val="1"/>
      </rPr>
      <t>i</t>
    </r>
    <r>
      <rPr>
        <b/>
        <sz val="10"/>
        <rFont val="Times New Roman"/>
        <family val="1"/>
      </rPr>
      <t xml:space="preserve"> - E(Y)]</t>
    </r>
  </si>
  <si>
    <t>Jun</t>
  </si>
  <si>
    <t>Jul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</si>
  <si>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</si>
  <si>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</si>
  <si>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</si>
  <si>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</si>
  <si>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</si>
  <si>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</si>
  <si>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</si>
  <si>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</si>
  <si>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</si>
  <si>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</si>
  <si>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r>
      <t>s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 =</t>
    </r>
  </si>
  <si>
    <r>
      <t>s</t>
    </r>
    <r>
      <rPr>
        <b/>
        <sz val="12"/>
        <rFont val="Times New Roman"/>
        <family val="1"/>
      </rPr>
      <t xml:space="preserve"> =</t>
    </r>
  </si>
  <si>
    <r>
      <t>b</t>
    </r>
    <r>
      <rPr>
        <b/>
        <vertAlign val="subscript"/>
        <sz val="12"/>
        <rFont val="Times New Roman"/>
        <family val="1"/>
      </rPr>
      <t xml:space="preserve">y   </t>
    </r>
    <r>
      <rPr>
        <b/>
        <sz val="12"/>
        <rFont val="Times New Roman"/>
        <family val="1"/>
      </rPr>
      <t xml:space="preserve"> =</t>
    </r>
  </si>
  <si>
    <r>
      <rPr>
        <b/>
        <sz val="12"/>
        <rFont val="Times New Roman"/>
        <family val="1"/>
      </rPr>
      <t xml:space="preserve">cov(y,x)  / </t>
    </r>
    <r>
      <rPr>
        <b/>
        <sz val="12"/>
        <rFont val="Symbol"/>
        <family val="1"/>
        <charset val="2"/>
      </rPr>
      <t>s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(x)</t>
    </r>
  </si>
  <si>
    <r>
      <t xml:space="preserve"> r</t>
    </r>
    <r>
      <rPr>
        <b/>
        <vertAlign val="subscript"/>
        <sz val="12"/>
        <rFont val="Times New Roman"/>
        <family val="1"/>
      </rPr>
      <t>e</t>
    </r>
    <r>
      <rPr>
        <b/>
        <sz val="12"/>
        <rFont val="Times New Roman"/>
        <family val="1"/>
      </rPr>
      <t xml:space="preserve">   =</t>
    </r>
  </si>
  <si>
    <t>r mensual</t>
  </si>
  <si>
    <t>DESARROLLO</t>
  </si>
  <si>
    <t>rentabilidad mensual</t>
  </si>
  <si>
    <t>Rentabilidad anual exigida por accionistas</t>
  </si>
</sst>
</file>

<file path=xl/styles.xml><?xml version="1.0" encoding="utf-8"?>
<styleSheet xmlns="http://schemas.openxmlformats.org/spreadsheetml/2006/main">
  <numFmts count="5">
    <numFmt numFmtId="164" formatCode="0.00000"/>
    <numFmt numFmtId="165" formatCode="0.0000"/>
    <numFmt numFmtId="166" formatCode="#,##0.00000000"/>
    <numFmt numFmtId="167" formatCode="0.0000000000"/>
    <numFmt numFmtId="168" formatCode="0.00000000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i/>
      <vertAlign val="subscript"/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b/>
      <vertAlign val="sub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b/>
      <sz val="12"/>
      <name val="Symbol"/>
      <family val="1"/>
      <charset val="2"/>
    </font>
    <font>
      <b/>
      <vertAlign val="superscript"/>
      <sz val="12"/>
      <name val="Times New Roman"/>
      <family val="1"/>
    </font>
    <font>
      <b/>
      <vertAlign val="subscript"/>
      <sz val="12"/>
      <name val="Times New Roman"/>
      <family val="1"/>
    </font>
    <font>
      <b/>
      <sz val="12"/>
      <name val="Lucida Handwriting"/>
      <family val="4"/>
    </font>
    <font>
      <b/>
      <vertAlign val="subscript"/>
      <sz val="12"/>
      <name val="Lucida Handwriting"/>
      <family val="4"/>
    </font>
    <font>
      <b/>
      <vertAlign val="superscript"/>
      <sz val="12"/>
      <name val="Lucida Handwriting"/>
      <family val="4"/>
    </font>
    <font>
      <sz val="11"/>
      <color theme="1"/>
      <name val="Lucida Handwriting"/>
      <family val="4"/>
    </font>
    <font>
      <b/>
      <sz val="12"/>
      <name val="Lucida Calligraphy"/>
      <family val="4"/>
    </font>
    <font>
      <b/>
      <vertAlign val="subscript"/>
      <sz val="12"/>
      <name val="Lucida Calligraphy"/>
      <family val="4"/>
    </font>
    <font>
      <sz val="12"/>
      <name val="Lucida Calligraphy"/>
      <family val="4"/>
    </font>
    <font>
      <sz val="11"/>
      <color theme="1"/>
      <name val="Lucida Calligraphy"/>
      <family val="4"/>
    </font>
    <font>
      <b/>
      <sz val="14"/>
      <color theme="1"/>
      <name val="Script MT Bold"/>
      <family val="4"/>
    </font>
    <font>
      <b/>
      <i/>
      <sz val="12"/>
      <name val="Symbol"/>
      <family val="1"/>
      <charset val="2"/>
    </font>
    <font>
      <sz val="12"/>
      <name val="Symbol"/>
      <family val="1"/>
      <charset val="2"/>
    </font>
    <font>
      <vertAlign val="subscript"/>
      <sz val="12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5" xfId="0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5"/>
    </xf>
    <xf numFmtId="0" fontId="4" fillId="0" borderId="9" xfId="0" applyFont="1" applyBorder="1"/>
    <xf numFmtId="0" fontId="0" fillId="0" borderId="0" xfId="0" applyBorder="1"/>
    <xf numFmtId="0" fontId="4" fillId="0" borderId="0" xfId="0" applyFont="1" applyBorder="1"/>
    <xf numFmtId="0" fontId="1" fillId="0" borderId="0" xfId="0" applyFont="1" applyBorder="1"/>
    <xf numFmtId="0" fontId="13" fillId="0" borderId="5" xfId="0" applyFont="1" applyBorder="1" applyAlignment="1">
      <alignment horizontal="center"/>
    </xf>
    <xf numFmtId="0" fontId="6" fillId="0" borderId="0" xfId="0" quotePrefix="1" applyFont="1" applyBorder="1"/>
    <xf numFmtId="0" fontId="6" fillId="0" borderId="5" xfId="0" applyFont="1" applyBorder="1" applyAlignment="1">
      <alignment horizontal="justify" vertical="top" wrapText="1"/>
    </xf>
    <xf numFmtId="0" fontId="4" fillId="0" borderId="5" xfId="0" applyFont="1" applyBorder="1"/>
    <xf numFmtId="0" fontId="8" fillId="0" borderId="5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center"/>
    </xf>
    <xf numFmtId="0" fontId="6" fillId="4" borderId="5" xfId="0" applyFont="1" applyFill="1" applyBorder="1" applyAlignment="1">
      <alignment horizontal="justify" vertical="top" wrapText="1"/>
    </xf>
    <xf numFmtId="0" fontId="4" fillId="4" borderId="5" xfId="0" applyFont="1" applyFill="1" applyBorder="1"/>
    <xf numFmtId="0" fontId="0" fillId="5" borderId="5" xfId="0" applyFill="1" applyBorder="1"/>
    <xf numFmtId="0" fontId="8" fillId="5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0" fillId="2" borderId="0" xfId="0" quotePrefix="1" applyFill="1" applyBorder="1"/>
    <xf numFmtId="0" fontId="0" fillId="2" borderId="0" xfId="0" applyFill="1" applyBorder="1"/>
    <xf numFmtId="0" fontId="16" fillId="3" borderId="10" xfId="0" quotePrefix="1" applyFont="1" applyFill="1" applyBorder="1" applyAlignment="1">
      <alignment horizontal="center"/>
    </xf>
    <xf numFmtId="0" fontId="19" fillId="3" borderId="11" xfId="0" applyFont="1" applyFill="1" applyBorder="1"/>
    <xf numFmtId="0" fontId="19" fillId="3" borderId="12" xfId="0" applyFont="1" applyFill="1" applyBorder="1"/>
    <xf numFmtId="0" fontId="16" fillId="3" borderId="8" xfId="0" quotePrefix="1" applyFont="1" applyFill="1" applyBorder="1" applyAlignment="1">
      <alignment horizontal="center"/>
    </xf>
    <xf numFmtId="0" fontId="16" fillId="3" borderId="13" xfId="0" applyFont="1" applyFill="1" applyBorder="1"/>
    <xf numFmtId="0" fontId="19" fillId="3" borderId="6" xfId="0" applyFont="1" applyFill="1" applyBorder="1"/>
    <xf numFmtId="0" fontId="20" fillId="0" borderId="0" xfId="0" quotePrefix="1" applyFont="1" applyBorder="1"/>
    <xf numFmtId="0" fontId="22" fillId="0" borderId="0" xfId="0" applyFont="1" applyBorder="1"/>
    <xf numFmtId="0" fontId="23" fillId="0" borderId="0" xfId="0" applyFont="1" applyBorder="1"/>
    <xf numFmtId="0" fontId="2" fillId="0" borderId="5" xfId="0" applyFont="1" applyBorder="1" applyAlignment="1">
      <alignment horizontal="left" vertical="center" indent="2"/>
    </xf>
    <xf numFmtId="0" fontId="24" fillId="3" borderId="0" xfId="0" applyFont="1" applyFill="1" applyAlignment="1">
      <alignment horizontal="left" vertical="center" indent="2"/>
    </xf>
    <xf numFmtId="0" fontId="24" fillId="3" borderId="0" xfId="0" applyFont="1" applyFill="1"/>
    <xf numFmtId="0" fontId="0" fillId="3" borderId="0" xfId="0" applyFill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4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8" fillId="0" borderId="0" xfId="0" quotePrefix="1" applyFont="1" applyAlignment="1">
      <alignment horizontal="right"/>
    </xf>
    <xf numFmtId="4" fontId="4" fillId="0" borderId="0" xfId="0" applyNumberFormat="1" applyFont="1"/>
    <xf numFmtId="4" fontId="4" fillId="0" borderId="0" xfId="0" applyNumberFormat="1" applyFont="1" applyFill="1"/>
    <xf numFmtId="0" fontId="28" fillId="0" borderId="0" xfId="0" applyFont="1" applyFill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6" fillId="0" borderId="5" xfId="0" applyNumberFormat="1" applyFont="1" applyBorder="1"/>
    <xf numFmtId="166" fontId="4" fillId="0" borderId="5" xfId="0" applyNumberFormat="1" applyFont="1" applyBorder="1"/>
    <xf numFmtId="166" fontId="4" fillId="0" borderId="19" xfId="0" applyNumberFormat="1" applyFont="1" applyBorder="1" applyAlignment="1">
      <alignment horizontal="center"/>
    </xf>
    <xf numFmtId="165" fontId="6" fillId="0" borderId="22" xfId="0" applyNumberFormat="1" applyFont="1" applyBorder="1"/>
    <xf numFmtId="165" fontId="6" fillId="0" borderId="24" xfId="0" applyNumberFormat="1" applyFont="1" applyBorder="1"/>
    <xf numFmtId="0" fontId="13" fillId="0" borderId="25" xfId="0" applyFont="1" applyBorder="1" applyAlignment="1">
      <alignment horizontal="center"/>
    </xf>
    <xf numFmtId="167" fontId="6" fillId="0" borderId="26" xfId="0" applyNumberFormat="1" applyFont="1" applyBorder="1" applyAlignment="1">
      <alignment horizontal="left" indent="2"/>
    </xf>
    <xf numFmtId="168" fontId="6" fillId="0" borderId="26" xfId="0" applyNumberFormat="1" applyFont="1" applyBorder="1"/>
    <xf numFmtId="0" fontId="13" fillId="0" borderId="26" xfId="0" applyFont="1" applyBorder="1" applyAlignment="1">
      <alignment horizontal="center"/>
    </xf>
    <xf numFmtId="0" fontId="6" fillId="0" borderId="27" xfId="0" applyFont="1" applyBorder="1"/>
    <xf numFmtId="0" fontId="13" fillId="0" borderId="24" xfId="0" applyFont="1" applyBorder="1" applyAlignment="1">
      <alignment horizontal="center"/>
    </xf>
    <xf numFmtId="0" fontId="13" fillId="0" borderId="0" xfId="0" quotePrefix="1" applyFont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6" fillId="0" borderId="0" xfId="0" quotePrefix="1" applyFont="1"/>
    <xf numFmtId="165" fontId="4" fillId="0" borderId="0" xfId="0" applyNumberFormat="1" applyFont="1" applyFill="1"/>
    <xf numFmtId="165" fontId="6" fillId="3" borderId="0" xfId="0" applyNumberFormat="1" applyFont="1" applyFill="1"/>
    <xf numFmtId="165" fontId="4" fillId="3" borderId="0" xfId="0" applyNumberFormat="1" applyFont="1" applyFill="1"/>
    <xf numFmtId="0" fontId="28" fillId="0" borderId="5" xfId="0" quotePrefix="1" applyFont="1" applyBorder="1" applyAlignment="1">
      <alignment horizontal="right"/>
    </xf>
    <xf numFmtId="4" fontId="4" fillId="0" borderId="5" xfId="0" applyNumberFormat="1" applyFont="1" applyBorder="1"/>
    <xf numFmtId="4" fontId="4" fillId="0" borderId="5" xfId="0" applyNumberFormat="1" applyFont="1" applyFill="1" applyBorder="1"/>
    <xf numFmtId="0" fontId="4" fillId="3" borderId="5" xfId="0" applyFont="1" applyFill="1" applyBorder="1"/>
    <xf numFmtId="0" fontId="28" fillId="6" borderId="5" xfId="0" applyFont="1" applyFill="1" applyBorder="1" applyAlignment="1">
      <alignment horizontal="right"/>
    </xf>
    <xf numFmtId="0" fontId="4" fillId="6" borderId="5" xfId="0" applyFont="1" applyFill="1" applyBorder="1"/>
    <xf numFmtId="0" fontId="4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28" fillId="7" borderId="17" xfId="0" quotePrefix="1" applyFont="1" applyFill="1" applyBorder="1" applyAlignment="1">
      <alignment horizontal="center"/>
    </xf>
    <xf numFmtId="0" fontId="28" fillId="7" borderId="20" xfId="0" quotePrefix="1" applyFont="1" applyFill="1" applyBorder="1" applyAlignment="1">
      <alignment horizontal="center"/>
    </xf>
    <xf numFmtId="0" fontId="28" fillId="7" borderId="21" xfId="0" quotePrefix="1" applyFont="1" applyFill="1" applyBorder="1" applyAlignment="1">
      <alignment horizontal="center"/>
    </xf>
    <xf numFmtId="0" fontId="28" fillId="7" borderId="23" xfId="0" applyFont="1" applyFill="1" applyBorder="1" applyAlignment="1">
      <alignment horizontal="center"/>
    </xf>
    <xf numFmtId="0" fontId="6" fillId="0" borderId="0" xfId="0" quotePrefix="1" applyFont="1" applyFill="1" applyBorder="1"/>
    <xf numFmtId="167" fontId="4" fillId="0" borderId="0" xfId="0" applyNumberFormat="1" applyFont="1" applyFill="1"/>
    <xf numFmtId="0" fontId="4" fillId="0" borderId="0" xfId="0" applyFont="1" applyFill="1"/>
    <xf numFmtId="0" fontId="0" fillId="0" borderId="0" xfId="0" applyAlignment="1">
      <alignment horizontal="left"/>
    </xf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indent="8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Fill="1" applyBorder="1"/>
    <xf numFmtId="0" fontId="0" fillId="0" borderId="5" xfId="0" applyFill="1" applyBorder="1"/>
    <xf numFmtId="0" fontId="0" fillId="0" borderId="7" xfId="0" applyFill="1" applyBorder="1"/>
    <xf numFmtId="165" fontId="0" fillId="0" borderId="7" xfId="0" applyNumberFormat="1" applyFill="1" applyBorder="1"/>
    <xf numFmtId="164" fontId="0" fillId="0" borderId="5" xfId="0" applyNumberFormat="1" applyFill="1" applyBorder="1"/>
    <xf numFmtId="0" fontId="5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activeCell="D14" sqref="D14"/>
    </sheetView>
  </sheetViews>
  <sheetFormatPr baseColWidth="10" defaultRowHeight="15"/>
  <cols>
    <col min="1" max="1" width="46.5703125" style="85" bestFit="1" customWidth="1"/>
    <col min="2" max="2" width="12.28515625" style="85" bestFit="1" customWidth="1"/>
    <col min="3" max="16384" width="11.42578125" style="85"/>
  </cols>
  <sheetData>
    <row r="1" spans="1:5">
      <c r="A1" s="85" t="s">
        <v>0</v>
      </c>
    </row>
    <row r="2" spans="1:5">
      <c r="A2" s="85" t="s">
        <v>21</v>
      </c>
    </row>
    <row r="3" spans="1:5">
      <c r="A3" s="85" t="s">
        <v>23</v>
      </c>
    </row>
    <row r="4" spans="1:5">
      <c r="A4" s="85" t="s">
        <v>24</v>
      </c>
    </row>
    <row r="5" spans="1:5">
      <c r="A5" s="85" t="s">
        <v>1</v>
      </c>
    </row>
    <row r="6" spans="1:5" ht="15.75" thickBot="1"/>
    <row r="7" spans="1:5" ht="16.5" thickBot="1">
      <c r="A7" s="86" t="s">
        <v>2</v>
      </c>
      <c r="B7" s="87" t="s">
        <v>3</v>
      </c>
      <c r="C7" s="87" t="s">
        <v>4</v>
      </c>
      <c r="D7" s="87" t="s">
        <v>5</v>
      </c>
      <c r="E7" s="87" t="s">
        <v>6</v>
      </c>
    </row>
    <row r="8" spans="1:5" ht="16.5" thickBot="1">
      <c r="A8" s="88" t="s">
        <v>7</v>
      </c>
      <c r="B8" s="89" t="s">
        <v>8</v>
      </c>
      <c r="C8" s="89" t="s">
        <v>9</v>
      </c>
      <c r="D8" s="89" t="s">
        <v>10</v>
      </c>
      <c r="E8" s="89" t="s">
        <v>11</v>
      </c>
    </row>
    <row r="9" spans="1:5" ht="16.5" thickBot="1">
      <c r="A9" s="88" t="s">
        <v>12</v>
      </c>
      <c r="B9" s="89" t="s">
        <v>13</v>
      </c>
      <c r="C9" s="89" t="s">
        <v>14</v>
      </c>
      <c r="D9" s="89" t="s">
        <v>15</v>
      </c>
      <c r="E9" s="89" t="s">
        <v>16</v>
      </c>
    </row>
    <row r="10" spans="1:5" ht="16.5" thickBot="1">
      <c r="A10" s="88" t="s">
        <v>17</v>
      </c>
      <c r="B10" s="89" t="s">
        <v>9</v>
      </c>
      <c r="C10" s="89" t="s">
        <v>18</v>
      </c>
      <c r="D10" s="89" t="s">
        <v>19</v>
      </c>
      <c r="E10" s="89" t="s">
        <v>20</v>
      </c>
    </row>
    <row r="12" spans="1:5" ht="15.75">
      <c r="A12" s="90" t="s">
        <v>25</v>
      </c>
    </row>
    <row r="13" spans="1:5" ht="15.75">
      <c r="A13" s="91" t="s">
        <v>26</v>
      </c>
    </row>
    <row r="14" spans="1:5" ht="15.75">
      <c r="A14" s="91" t="s">
        <v>27</v>
      </c>
    </row>
    <row r="15" spans="1:5" ht="15.75">
      <c r="A15" s="91" t="s">
        <v>28</v>
      </c>
    </row>
    <row r="16" spans="1:5" ht="15.75">
      <c r="A16" s="91" t="s">
        <v>29</v>
      </c>
    </row>
    <row r="17" spans="1:7" ht="15.75">
      <c r="A17" s="91" t="s">
        <v>30</v>
      </c>
    </row>
    <row r="19" spans="1:7" ht="15.75">
      <c r="A19" s="91" t="s">
        <v>31</v>
      </c>
    </row>
    <row r="20" spans="1:7" ht="15.75">
      <c r="A20" s="92" t="s">
        <v>2</v>
      </c>
      <c r="B20" s="93" t="s">
        <v>3</v>
      </c>
      <c r="C20" s="94" t="s">
        <v>4</v>
      </c>
      <c r="D20" s="2" t="s">
        <v>5</v>
      </c>
      <c r="E20" s="2" t="s">
        <v>6</v>
      </c>
      <c r="F20" s="2" t="s">
        <v>32</v>
      </c>
      <c r="G20" s="2" t="s">
        <v>22</v>
      </c>
    </row>
    <row r="21" spans="1:7" ht="15.75">
      <c r="A21" s="92" t="s">
        <v>7</v>
      </c>
      <c r="B21" s="2">
        <v>0.2</v>
      </c>
      <c r="C21" s="94">
        <v>0.15</v>
      </c>
      <c r="D21" s="2">
        <v>0.17</v>
      </c>
      <c r="E21" s="2">
        <v>0.2</v>
      </c>
      <c r="F21" s="95">
        <f>((E21+D21+C21)/3)</f>
        <v>0.17333333333333334</v>
      </c>
      <c r="G21" s="96">
        <f>3*C21+2*D21+E21</f>
        <v>0.99</v>
      </c>
    </row>
    <row r="22" spans="1:7" ht="15.75">
      <c r="A22" s="92" t="s">
        <v>12</v>
      </c>
      <c r="B22" s="2">
        <v>0.65</v>
      </c>
      <c r="C22" s="2">
        <v>0.11</v>
      </c>
      <c r="D22" s="2">
        <v>0.14000000000000001</v>
      </c>
      <c r="E22" s="2">
        <v>0.13</v>
      </c>
      <c r="F22" s="95">
        <f>((C22+D22+E22)/3)</f>
        <v>0.12666666666666668</v>
      </c>
      <c r="G22" s="96">
        <f>3*C22+2*D22+E22</f>
        <v>0.7400000000000001</v>
      </c>
    </row>
    <row r="23" spans="1:7" ht="15.75">
      <c r="A23" s="92" t="s">
        <v>17</v>
      </c>
      <c r="B23" s="2">
        <v>0.15</v>
      </c>
      <c r="C23" s="2">
        <v>-0.02</v>
      </c>
      <c r="D23" s="2">
        <v>-0.04</v>
      </c>
      <c r="E23" s="2">
        <v>-0.09</v>
      </c>
      <c r="F23" s="95">
        <f>((C23+D23+E23)/3)</f>
        <v>-4.9999999999999996E-2</v>
      </c>
      <c r="G23" s="96">
        <f>3*C23+2*D23+E23</f>
        <v>-0.23</v>
      </c>
    </row>
    <row r="24" spans="1:7" ht="15.75">
      <c r="A24" s="102" t="s">
        <v>33</v>
      </c>
      <c r="B24" s="102"/>
      <c r="C24" s="97">
        <f>B21*C21+B22*C22+B23*C23</f>
        <v>9.8500000000000004E-2</v>
      </c>
      <c r="D24" s="98">
        <f>D21*B21+D22*B22+D23*B23</f>
        <v>0.11899999999999999</v>
      </c>
      <c r="E24" s="98">
        <f>B21*E21+E22*B22+E23*B23</f>
        <v>0.11100000000000002</v>
      </c>
      <c r="F24" s="98">
        <f>F21*B21+F22*B22+F23*B23</f>
        <v>0.10950000000000003</v>
      </c>
      <c r="G24" s="97">
        <f>G21*B21+G22*B22+G23*B23</f>
        <v>0.64450000000000007</v>
      </c>
    </row>
    <row r="25" spans="1:7">
      <c r="A25" s="102" t="s">
        <v>34</v>
      </c>
      <c r="B25" s="102"/>
      <c r="C25" s="95">
        <f>C21-$C$24</f>
        <v>5.149999999999999E-2</v>
      </c>
      <c r="D25" s="96">
        <f>D21-D24</f>
        <v>5.1000000000000018E-2</v>
      </c>
      <c r="E25" s="96">
        <f>E21-$E$24</f>
        <v>8.8999999999999996E-2</v>
      </c>
      <c r="F25" s="95">
        <f>F21-$F$24</f>
        <v>6.3833333333333311E-2</v>
      </c>
      <c r="G25" s="96">
        <f>G21-$G$24</f>
        <v>0.34549999999999992</v>
      </c>
    </row>
    <row r="26" spans="1:7">
      <c r="A26" s="102"/>
      <c r="B26" s="102"/>
      <c r="C26" s="95">
        <f t="shared" ref="C26:C27" si="0">C22-$C$24</f>
        <v>1.1499999999999996E-2</v>
      </c>
      <c r="D26" s="96">
        <f>D22-$D$24</f>
        <v>2.1000000000000019E-2</v>
      </c>
      <c r="E26" s="96">
        <f>E22-$E$24</f>
        <v>1.8999999999999989E-2</v>
      </c>
      <c r="F26" s="95">
        <f t="shared" ref="F26:F27" si="1">F22-$F$24</f>
        <v>1.716666666666665E-2</v>
      </c>
      <c r="G26" s="96">
        <f t="shared" ref="G26:G27" si="2">G22-$G$24</f>
        <v>9.5500000000000029E-2</v>
      </c>
    </row>
    <row r="27" spans="1:7">
      <c r="A27" s="102"/>
      <c r="B27" s="102"/>
      <c r="C27" s="95">
        <f t="shared" si="0"/>
        <v>-0.11850000000000001</v>
      </c>
      <c r="D27" s="96">
        <f>D23-$D$24</f>
        <v>-0.159</v>
      </c>
      <c r="E27" s="96">
        <f>E23-$E$24</f>
        <v>-0.20100000000000001</v>
      </c>
      <c r="F27" s="95">
        <f t="shared" si="1"/>
        <v>-0.15950000000000003</v>
      </c>
      <c r="G27" s="96">
        <f t="shared" si="2"/>
        <v>-0.87450000000000006</v>
      </c>
    </row>
    <row r="28" spans="1:7">
      <c r="A28" s="102" t="s">
        <v>35</v>
      </c>
      <c r="B28" s="103"/>
      <c r="C28" s="99">
        <f>C25^2</f>
        <v>2.6522499999999988E-3</v>
      </c>
      <c r="D28" s="99">
        <f t="shared" ref="D28:G28" si="3">D25^2</f>
        <v>2.6010000000000017E-3</v>
      </c>
      <c r="E28" s="99">
        <f t="shared" si="3"/>
        <v>7.9209999999999992E-3</v>
      </c>
      <c r="F28" s="99">
        <f t="shared" si="3"/>
        <v>4.0746944444444416E-3</v>
      </c>
      <c r="G28" s="99">
        <f t="shared" si="3"/>
        <v>0.11937024999999994</v>
      </c>
    </row>
    <row r="29" spans="1:7">
      <c r="A29" s="102"/>
      <c r="B29" s="103"/>
      <c r="C29" s="99">
        <f t="shared" ref="C29:G30" si="4">C26^2</f>
        <v>1.3224999999999991E-4</v>
      </c>
      <c r="D29" s="99">
        <f t="shared" si="4"/>
        <v>4.410000000000008E-4</v>
      </c>
      <c r="E29" s="99">
        <f t="shared" si="4"/>
        <v>3.6099999999999961E-4</v>
      </c>
      <c r="F29" s="99">
        <f t="shared" si="4"/>
        <v>2.9469444444444383E-4</v>
      </c>
      <c r="G29" s="99">
        <f t="shared" si="4"/>
        <v>9.1202500000000051E-3</v>
      </c>
    </row>
    <row r="30" spans="1:7">
      <c r="A30" s="102"/>
      <c r="B30" s="103"/>
      <c r="C30" s="99">
        <f t="shared" si="4"/>
        <v>1.4042250000000003E-2</v>
      </c>
      <c r="D30" s="99">
        <f t="shared" si="4"/>
        <v>2.5281000000000001E-2</v>
      </c>
      <c r="E30" s="99">
        <f t="shared" si="4"/>
        <v>4.0401000000000006E-2</v>
      </c>
      <c r="F30" s="99">
        <f t="shared" si="4"/>
        <v>2.5440250000000011E-2</v>
      </c>
      <c r="G30" s="99">
        <f t="shared" si="4"/>
        <v>0.76475025000000008</v>
      </c>
    </row>
    <row r="31" spans="1:7">
      <c r="A31" s="104" t="s">
        <v>36</v>
      </c>
      <c r="B31" s="104"/>
      <c r="C31" s="99">
        <f>C28*$B$21+C29*$B$22+C30*$B$23</f>
        <v>2.7227500000000003E-3</v>
      </c>
      <c r="D31" s="99">
        <f t="shared" ref="D31:G31" si="5">D28*$B$21+D29*$B$22+D30*$B$23</f>
        <v>4.5990000000000007E-3</v>
      </c>
      <c r="E31" s="99">
        <f t="shared" si="5"/>
        <v>7.8790000000000006E-3</v>
      </c>
      <c r="F31" s="99">
        <f t="shared" si="5"/>
        <v>4.822527777777778E-3</v>
      </c>
      <c r="G31" s="99">
        <f t="shared" si="5"/>
        <v>0.14451475</v>
      </c>
    </row>
    <row r="32" spans="1:7">
      <c r="A32" s="104" t="s">
        <v>37</v>
      </c>
      <c r="B32" s="104"/>
      <c r="C32" s="96">
        <f>SQRT(C31)</f>
        <v>5.2179977002677957E-2</v>
      </c>
      <c r="D32" s="96">
        <f t="shared" ref="D32:G32" si="6">SQRT(D31)</f>
        <v>6.78159273327439E-2</v>
      </c>
      <c r="E32" s="96">
        <f t="shared" si="6"/>
        <v>8.8763731332115597E-2</v>
      </c>
      <c r="F32" s="96">
        <f t="shared" si="6"/>
        <v>6.9444422222218666E-2</v>
      </c>
      <c r="G32" s="96">
        <f t="shared" si="6"/>
        <v>0.38015095685793032</v>
      </c>
    </row>
    <row r="33" spans="1:7">
      <c r="A33" s="101" t="s">
        <v>38</v>
      </c>
      <c r="B33" s="101"/>
      <c r="C33" s="100">
        <f>C32*100</f>
        <v>5.2179977002677962</v>
      </c>
      <c r="D33" s="100">
        <f t="shared" ref="D33:G33" si="7">D32*100</f>
        <v>6.7815927332743904</v>
      </c>
      <c r="E33" s="100">
        <f t="shared" si="7"/>
        <v>8.8763731332115601</v>
      </c>
      <c r="F33" s="100">
        <f t="shared" si="7"/>
        <v>6.9444422222218662</v>
      </c>
      <c r="G33" s="100">
        <f t="shared" si="7"/>
        <v>38.015095685793035</v>
      </c>
    </row>
  </sheetData>
  <mergeCells count="6">
    <mergeCell ref="A33:B33"/>
    <mergeCell ref="A24:B24"/>
    <mergeCell ref="A25:B27"/>
    <mergeCell ref="A28:B30"/>
    <mergeCell ref="A31:B31"/>
    <mergeCell ref="A32:B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8"/>
  <sheetViews>
    <sheetView workbookViewId="0">
      <selection activeCell="H8" sqref="H8"/>
    </sheetView>
  </sheetViews>
  <sheetFormatPr baseColWidth="10" defaultRowHeight="15"/>
  <cols>
    <col min="6" max="6" width="9.7109375" bestFit="1" customWidth="1"/>
    <col min="8" max="8" width="19.85546875" bestFit="1" customWidth="1"/>
  </cols>
  <sheetData>
    <row r="1" spans="1:1" ht="15.75">
      <c r="A1" s="4" t="s">
        <v>39</v>
      </c>
    </row>
    <row r="2" spans="1:1">
      <c r="A2" s="84" t="s">
        <v>40</v>
      </c>
    </row>
    <row r="3" spans="1:1" ht="15.75">
      <c r="A3" s="4" t="s">
        <v>41</v>
      </c>
    </row>
    <row r="4" spans="1:1" ht="15.75">
      <c r="A4" s="4" t="s">
        <v>42</v>
      </c>
    </row>
    <row r="5" spans="1:1" ht="15.75">
      <c r="A5" s="4" t="s">
        <v>43</v>
      </c>
    </row>
    <row r="6" spans="1:1">
      <c r="A6" s="84" t="s">
        <v>44</v>
      </c>
    </row>
    <row r="7" spans="1:1">
      <c r="A7" s="84"/>
    </row>
    <row r="8" spans="1:1" ht="15.75">
      <c r="A8" s="4" t="s">
        <v>45</v>
      </c>
    </row>
    <row r="9" spans="1:1" ht="15.75">
      <c r="A9" s="5" t="s">
        <v>46</v>
      </c>
    </row>
    <row r="10" spans="1:1" ht="15.75">
      <c r="A10" s="5" t="s">
        <v>79</v>
      </c>
    </row>
    <row r="16" spans="1:1" s="7" customFormat="1">
      <c r="A16" s="7" t="s">
        <v>47</v>
      </c>
    </row>
    <row r="17" spans="1:9" s="7" customFormat="1" ht="15.75">
      <c r="A17" s="16" t="s">
        <v>48</v>
      </c>
      <c r="B17" s="17">
        <v>1</v>
      </c>
      <c r="C17" s="17">
        <v>2</v>
      </c>
      <c r="D17" s="17">
        <v>3</v>
      </c>
      <c r="E17" s="17">
        <v>4</v>
      </c>
      <c r="F17" s="17">
        <v>5</v>
      </c>
    </row>
    <row r="18" spans="1:9" s="7" customFormat="1" ht="18.75">
      <c r="A18" s="12" t="s">
        <v>49</v>
      </c>
      <c r="B18" s="13">
        <v>7</v>
      </c>
      <c r="C18" s="13">
        <v>11</v>
      </c>
      <c r="D18" s="13">
        <v>12</v>
      </c>
      <c r="E18" s="13">
        <v>5</v>
      </c>
      <c r="F18" s="13">
        <v>14</v>
      </c>
      <c r="G18" s="7" t="s">
        <v>50</v>
      </c>
    </row>
    <row r="19" spans="1:9" s="7" customFormat="1" ht="18.75">
      <c r="A19" s="14" t="s">
        <v>51</v>
      </c>
      <c r="B19" s="13">
        <f>1.35+B18</f>
        <v>8.35</v>
      </c>
      <c r="C19" s="13">
        <f t="shared" ref="C19:F19" si="0">1.35+C18</f>
        <v>12.35</v>
      </c>
      <c r="D19" s="13">
        <f t="shared" si="0"/>
        <v>13.35</v>
      </c>
      <c r="E19" s="13">
        <f t="shared" si="0"/>
        <v>6.35</v>
      </c>
      <c r="F19" s="13">
        <f t="shared" si="0"/>
        <v>15.35</v>
      </c>
      <c r="G19" s="7" t="s">
        <v>50</v>
      </c>
    </row>
    <row r="20" spans="1:9" s="7" customFormat="1"/>
    <row r="21" spans="1:9" s="7" customFormat="1" ht="15.75">
      <c r="A21" s="1"/>
      <c r="B21" s="13" t="s">
        <v>52</v>
      </c>
      <c r="C21" s="13" t="s">
        <v>53</v>
      </c>
      <c r="D21" s="15"/>
      <c r="E21" s="15"/>
      <c r="F21" s="15"/>
      <c r="G21" s="13"/>
      <c r="H21" s="13"/>
    </row>
    <row r="22" spans="1:9" s="7" customFormat="1" ht="18.75">
      <c r="A22" s="18" t="s">
        <v>54</v>
      </c>
      <c r="B22" s="19" t="s">
        <v>51</v>
      </c>
      <c r="C22" s="20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60</v>
      </c>
      <c r="I22" s="9"/>
    </row>
    <row r="23" spans="1:9" s="7" customFormat="1">
      <c r="A23" s="1">
        <v>1</v>
      </c>
      <c r="B23" s="1">
        <f>B19/100</f>
        <v>8.3499999999999991E-2</v>
      </c>
      <c r="C23" s="1">
        <f>B18/100</f>
        <v>7.0000000000000007E-2</v>
      </c>
      <c r="D23" s="1">
        <f>B23-$B$28</f>
        <v>-2.8000000000000011E-2</v>
      </c>
      <c r="E23" s="1">
        <f>D23^2</f>
        <v>7.8400000000000063E-4</v>
      </c>
      <c r="F23" s="1">
        <f>C23-$C$28</f>
        <v>-2.7999999999999997E-2</v>
      </c>
      <c r="G23" s="1">
        <f>F23^2</f>
        <v>7.8399999999999987E-4</v>
      </c>
      <c r="H23" s="1">
        <f>D23*F23</f>
        <v>7.8400000000000019E-4</v>
      </c>
    </row>
    <row r="24" spans="1:9" s="7" customFormat="1">
      <c r="A24" s="1">
        <v>2</v>
      </c>
      <c r="B24" s="1">
        <f>C19/100</f>
        <v>0.1235</v>
      </c>
      <c r="C24" s="1">
        <f>C18/100</f>
        <v>0.11</v>
      </c>
      <c r="D24" s="1">
        <f t="shared" ref="D24:D27" si="1">B24-$B$28</f>
        <v>1.1999999999999997E-2</v>
      </c>
      <c r="E24" s="1">
        <f t="shared" ref="E24:E27" si="2">D24^2</f>
        <v>1.4399999999999992E-4</v>
      </c>
      <c r="F24" s="1">
        <f t="shared" ref="F24:F27" si="3">C24-$C$28</f>
        <v>1.1999999999999997E-2</v>
      </c>
      <c r="G24" s="1">
        <f t="shared" ref="G24:G27" si="4">F24^2</f>
        <v>1.4399999999999992E-4</v>
      </c>
      <c r="H24" s="1">
        <f t="shared" ref="H24:H27" si="5">D24*F24</f>
        <v>1.4399999999999992E-4</v>
      </c>
    </row>
    <row r="25" spans="1:9" s="7" customFormat="1">
      <c r="A25" s="1">
        <v>3</v>
      </c>
      <c r="B25" s="1">
        <f>D19/100</f>
        <v>0.13350000000000001</v>
      </c>
      <c r="C25" s="1">
        <f>D18/100</f>
        <v>0.12</v>
      </c>
      <c r="D25" s="1">
        <f t="shared" si="1"/>
        <v>2.2000000000000006E-2</v>
      </c>
      <c r="E25" s="1">
        <f t="shared" si="2"/>
        <v>4.8400000000000027E-4</v>
      </c>
      <c r="F25" s="1">
        <f t="shared" si="3"/>
        <v>2.1999999999999992E-2</v>
      </c>
      <c r="G25" s="1">
        <f t="shared" si="4"/>
        <v>4.8399999999999962E-4</v>
      </c>
      <c r="H25" s="1">
        <f t="shared" si="5"/>
        <v>4.8399999999999995E-4</v>
      </c>
    </row>
    <row r="26" spans="1:9" s="7" customFormat="1">
      <c r="A26" s="1">
        <v>4</v>
      </c>
      <c r="B26" s="1">
        <f>E19/100</f>
        <v>6.3500000000000001E-2</v>
      </c>
      <c r="C26" s="1">
        <f>E18/100</f>
        <v>0.05</v>
      </c>
      <c r="D26" s="1">
        <f t="shared" si="1"/>
        <v>-4.8000000000000001E-2</v>
      </c>
      <c r="E26" s="1">
        <f t="shared" si="2"/>
        <v>2.3040000000000001E-3</v>
      </c>
      <c r="F26" s="1">
        <f t="shared" si="3"/>
        <v>-4.8000000000000001E-2</v>
      </c>
      <c r="G26" s="1">
        <f t="shared" si="4"/>
        <v>2.3040000000000001E-3</v>
      </c>
      <c r="H26" s="1">
        <f t="shared" si="5"/>
        <v>2.3040000000000001E-3</v>
      </c>
    </row>
    <row r="27" spans="1:9" s="7" customFormat="1">
      <c r="A27" s="1">
        <v>5</v>
      </c>
      <c r="B27" s="1">
        <f>F19/100</f>
        <v>0.1535</v>
      </c>
      <c r="C27" s="1">
        <f>F18/100</f>
        <v>0.14000000000000001</v>
      </c>
      <c r="D27" s="1">
        <f t="shared" si="1"/>
        <v>4.1999999999999996E-2</v>
      </c>
      <c r="E27" s="1">
        <f t="shared" si="2"/>
        <v>1.7639999999999997E-3</v>
      </c>
      <c r="F27" s="1">
        <f t="shared" si="3"/>
        <v>4.200000000000001E-2</v>
      </c>
      <c r="G27" s="1">
        <f t="shared" si="4"/>
        <v>1.7640000000000008E-3</v>
      </c>
      <c r="H27" s="1">
        <f t="shared" si="5"/>
        <v>1.7640000000000002E-3</v>
      </c>
    </row>
    <row r="28" spans="1:9" s="7" customFormat="1" ht="18.75">
      <c r="A28" s="1" t="s">
        <v>61</v>
      </c>
      <c r="B28" s="1">
        <f>AVERAGE(B23:B27)</f>
        <v>0.1115</v>
      </c>
      <c r="C28" s="1">
        <f>AVERAGE(C23:C27)</f>
        <v>9.8000000000000004E-2</v>
      </c>
      <c r="D28" s="10" t="s">
        <v>62</v>
      </c>
      <c r="E28" s="1">
        <f>AVERAGE(E23:E27)</f>
        <v>1.0960000000000002E-3</v>
      </c>
      <c r="F28" s="10" t="s">
        <v>63</v>
      </c>
      <c r="G28" s="1">
        <f>AVERAGE(G23:G27)</f>
        <v>1.0960000000000002E-3</v>
      </c>
      <c r="H28" s="1"/>
    </row>
    <row r="29" spans="1:9" s="7" customFormat="1" ht="15.75">
      <c r="A29" s="1"/>
      <c r="B29" s="1"/>
      <c r="C29" s="1"/>
      <c r="D29" s="10" t="s">
        <v>64</v>
      </c>
      <c r="E29" s="1">
        <f>SQRT(E28)</f>
        <v>3.3105890714493699E-2</v>
      </c>
      <c r="F29" s="10" t="s">
        <v>65</v>
      </c>
      <c r="G29" s="1">
        <f>SQRT(G28)</f>
        <v>3.3105890714493699E-2</v>
      </c>
      <c r="H29" s="1"/>
    </row>
    <row r="30" spans="1:9" s="7" customFormat="1">
      <c r="A30" s="1"/>
      <c r="B30" s="1"/>
      <c r="C30" s="1"/>
      <c r="D30" s="1"/>
      <c r="E30" s="1"/>
      <c r="F30" s="1"/>
      <c r="G30" s="1" t="s">
        <v>66</v>
      </c>
      <c r="H30" s="1">
        <f>AVERAGE(H23:H27)</f>
        <v>1.0960000000000002E-3</v>
      </c>
    </row>
    <row r="31" spans="1:9" s="7" customFormat="1"/>
    <row r="32" spans="1:9" s="7" customFormat="1">
      <c r="F32" s="22" t="s">
        <v>67</v>
      </c>
      <c r="G32" s="23"/>
      <c r="H32" s="23"/>
    </row>
    <row r="33" spans="1:11" s="7" customFormat="1" ht="21">
      <c r="F33" s="27" t="s">
        <v>80</v>
      </c>
      <c r="G33" s="28" t="s">
        <v>81</v>
      </c>
      <c r="H33" s="29"/>
    </row>
    <row r="34" spans="1:11" s="7" customFormat="1" ht="19.5">
      <c r="A34" s="7" t="s">
        <v>68</v>
      </c>
      <c r="F34" s="24" t="s">
        <v>82</v>
      </c>
      <c r="G34" s="25">
        <f>H30/G28</f>
        <v>1</v>
      </c>
      <c r="H34" s="26"/>
    </row>
    <row r="35" spans="1:11" s="32" customFormat="1" ht="19.5">
      <c r="A35" s="30" t="s">
        <v>83</v>
      </c>
      <c r="B35" s="31"/>
    </row>
    <row r="36" spans="1:11" s="7" customFormat="1">
      <c r="A36" s="7" t="s">
        <v>70</v>
      </c>
    </row>
    <row r="37" spans="1:11" s="7" customFormat="1">
      <c r="A37" s="7" t="s">
        <v>71</v>
      </c>
      <c r="B37" s="7">
        <f>6.8/100</f>
        <v>6.8000000000000005E-2</v>
      </c>
      <c r="C37" s="7" t="s">
        <v>72</v>
      </c>
    </row>
    <row r="38" spans="1:11" s="7" customFormat="1">
      <c r="A38" s="7" t="s">
        <v>71</v>
      </c>
      <c r="B38" s="7">
        <f>3.5/100</f>
        <v>3.5000000000000003E-2</v>
      </c>
      <c r="C38" s="7" t="s">
        <v>73</v>
      </c>
    </row>
    <row r="39" spans="1:11" s="7" customFormat="1"/>
    <row r="40" spans="1:11" s="7" customFormat="1">
      <c r="A40" s="7" t="s">
        <v>74</v>
      </c>
    </row>
    <row r="41" spans="1:11" s="7" customFormat="1">
      <c r="A41" s="7" t="s">
        <v>75</v>
      </c>
      <c r="C41" s="7" t="s">
        <v>76</v>
      </c>
    </row>
    <row r="42" spans="1:11" s="7" customFormat="1">
      <c r="A42" s="7" t="s">
        <v>77</v>
      </c>
    </row>
    <row r="43" spans="1:11" s="7" customFormat="1">
      <c r="A43" s="7" t="s">
        <v>78</v>
      </c>
      <c r="B43" s="7">
        <f>B37+B38</f>
        <v>0.10300000000000001</v>
      </c>
    </row>
    <row r="44" spans="1:11" s="7" customFormat="1"/>
    <row r="45" spans="1:11">
      <c r="I45" s="7"/>
      <c r="J45" s="7"/>
      <c r="K45" s="7"/>
    </row>
    <row r="46" spans="1:11">
      <c r="I46" s="7"/>
      <c r="J46" s="7"/>
      <c r="K46" s="7"/>
    </row>
    <row r="47" spans="1:11">
      <c r="I47" s="7"/>
      <c r="J47" s="7"/>
      <c r="K47" s="7"/>
    </row>
    <row r="48" spans="1:11">
      <c r="I48" s="7"/>
      <c r="J48" s="7"/>
      <c r="K48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A6" sqref="A6:L29"/>
    </sheetView>
  </sheetViews>
  <sheetFormatPr baseColWidth="10" defaultRowHeight="15"/>
  <cols>
    <col min="2" max="2" width="19.5703125" customWidth="1"/>
  </cols>
  <sheetData>
    <row r="1" spans="1:7" ht="15.75">
      <c r="A1" s="3" t="s">
        <v>84</v>
      </c>
    </row>
    <row r="2" spans="1:7" ht="15.75">
      <c r="A2" s="3" t="s">
        <v>85</v>
      </c>
      <c r="G2" s="4" t="s">
        <v>88</v>
      </c>
    </row>
    <row r="3" spans="1:7" ht="15.75">
      <c r="A3" s="3" t="s">
        <v>86</v>
      </c>
      <c r="G3" s="4" t="s">
        <v>89</v>
      </c>
    </row>
    <row r="4" spans="1:7" ht="15.75">
      <c r="A4" s="4" t="s">
        <v>87</v>
      </c>
      <c r="G4" s="4" t="s">
        <v>90</v>
      </c>
    </row>
    <row r="6" spans="1:7" ht="15.75">
      <c r="A6" s="33" t="s">
        <v>91</v>
      </c>
      <c r="B6" s="1"/>
    </row>
    <row r="7" spans="1:7" ht="15.75">
      <c r="A7" s="33" t="s">
        <v>99</v>
      </c>
      <c r="B7" s="1">
        <v>0.3</v>
      </c>
    </row>
    <row r="8" spans="1:7" ht="15.75">
      <c r="A8" s="33" t="s">
        <v>100</v>
      </c>
      <c r="B8" s="1">
        <v>1.2</v>
      </c>
    </row>
    <row r="9" spans="1:7" ht="15.75">
      <c r="A9" s="33" t="s">
        <v>98</v>
      </c>
      <c r="B9" s="1">
        <f>2.5/100</f>
        <v>2.5000000000000001E-2</v>
      </c>
    </row>
    <row r="10" spans="1:7" ht="15.75">
      <c r="A10" s="33" t="s">
        <v>101</v>
      </c>
      <c r="B10" s="1">
        <f>7.5/100</f>
        <v>7.4999999999999997E-2</v>
      </c>
    </row>
    <row r="11" spans="1:7" ht="15.75">
      <c r="A11" s="33" t="s">
        <v>102</v>
      </c>
      <c r="B11" s="1">
        <v>0.08</v>
      </c>
    </row>
    <row r="13" spans="1:7" ht="15.75">
      <c r="A13" s="4" t="s">
        <v>88</v>
      </c>
    </row>
    <row r="14" spans="1:7" ht="18">
      <c r="B14" s="34" t="s">
        <v>103</v>
      </c>
      <c r="C14" s="34" t="s">
        <v>92</v>
      </c>
      <c r="D14" s="35"/>
      <c r="E14" s="36"/>
    </row>
    <row r="15" spans="1:7" ht="15.75">
      <c r="A15" s="4" t="s">
        <v>78</v>
      </c>
      <c r="B15">
        <f>B9+B8*(B10)</f>
        <v>0.11499999999999999</v>
      </c>
    </row>
    <row r="17" spans="1:5" ht="15.75">
      <c r="A17" s="4" t="s">
        <v>89</v>
      </c>
    </row>
    <row r="18" spans="1:5" ht="18">
      <c r="B18" s="34" t="s">
        <v>103</v>
      </c>
      <c r="C18" s="34" t="s">
        <v>93</v>
      </c>
      <c r="D18" s="34"/>
      <c r="E18" s="34"/>
    </row>
    <row r="19" spans="1:5" ht="15.75">
      <c r="A19" s="4"/>
    </row>
    <row r="20" spans="1:5" ht="15.75">
      <c r="A20" s="4" t="s">
        <v>94</v>
      </c>
      <c r="B20">
        <f>(B11-B9)/B10</f>
        <v>0.73333333333333339</v>
      </c>
    </row>
    <row r="21" spans="1:5" ht="15.75">
      <c r="A21" s="4"/>
    </row>
    <row r="23" spans="1:5" ht="15.75">
      <c r="A23" s="4" t="s">
        <v>90</v>
      </c>
    </row>
    <row r="24" spans="1:5" ht="15.75">
      <c r="A24" s="4" t="s">
        <v>95</v>
      </c>
      <c r="B24">
        <v>0.3</v>
      </c>
      <c r="D24" t="s">
        <v>96</v>
      </c>
      <c r="E24">
        <v>0.7</v>
      </c>
    </row>
    <row r="25" spans="1:5" ht="15.75">
      <c r="A25" s="4" t="s">
        <v>97</v>
      </c>
      <c r="B25">
        <f>B11*B24</f>
        <v>2.4E-2</v>
      </c>
    </row>
    <row r="27" spans="1:5" ht="15.75">
      <c r="A27" s="4" t="s">
        <v>78</v>
      </c>
      <c r="B27">
        <f>(B15-B25)/E24</f>
        <v>0.13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K69"/>
  <sheetViews>
    <sheetView workbookViewId="0">
      <selection activeCell="I7" sqref="I7"/>
    </sheetView>
  </sheetViews>
  <sheetFormatPr baseColWidth="10" defaultRowHeight="15.75"/>
  <cols>
    <col min="1" max="1" width="11.42578125" style="39"/>
    <col min="2" max="2" width="10.5703125" style="39" customWidth="1"/>
    <col min="3" max="3" width="26" style="39" customWidth="1"/>
    <col min="4" max="4" width="19" style="39" customWidth="1"/>
    <col min="5" max="5" width="12.7109375" style="39" customWidth="1"/>
    <col min="6" max="6" width="15.140625" style="39" customWidth="1"/>
    <col min="7" max="7" width="12.5703125" style="39" customWidth="1"/>
    <col min="8" max="8" width="12.7109375" style="39" customWidth="1"/>
    <col min="9" max="9" width="17.5703125" style="39" customWidth="1"/>
    <col min="10" max="10" width="6.28515625" style="39" customWidth="1"/>
    <col min="11" max="11" width="5.140625" style="39" customWidth="1"/>
    <col min="12" max="16384" width="11.42578125" style="39"/>
  </cols>
  <sheetData>
    <row r="1" spans="2:11" ht="22.5" customHeight="1" thickBot="1">
      <c r="B1" s="37" t="s">
        <v>104</v>
      </c>
      <c r="C1" s="6"/>
      <c r="D1" s="6"/>
      <c r="E1" s="6"/>
      <c r="F1" s="6"/>
      <c r="G1" s="6"/>
      <c r="H1" s="6"/>
      <c r="I1" s="38" t="s">
        <v>105</v>
      </c>
      <c r="J1" s="6"/>
      <c r="K1" s="6"/>
    </row>
    <row r="2" spans="2:11">
      <c r="B2" s="39" t="s">
        <v>106</v>
      </c>
    </row>
    <row r="3" spans="2:11">
      <c r="B3" s="39" t="s">
        <v>107</v>
      </c>
    </row>
    <row r="4" spans="2:11">
      <c r="B4" s="40" t="s">
        <v>108</v>
      </c>
    </row>
    <row r="5" spans="2:11">
      <c r="B5" s="40" t="s">
        <v>109</v>
      </c>
    </row>
    <row r="6" spans="2:11">
      <c r="B6" s="39" t="s">
        <v>110</v>
      </c>
    </row>
    <row r="7" spans="2:11" ht="17.25">
      <c r="B7" s="40" t="s">
        <v>111</v>
      </c>
    </row>
    <row r="8" spans="2:11" ht="17.25">
      <c r="B8" s="40" t="s">
        <v>112</v>
      </c>
    </row>
    <row r="9" spans="2:11" ht="17.25">
      <c r="B9" s="40" t="s">
        <v>113</v>
      </c>
    </row>
    <row r="10" spans="2:11" ht="18.75">
      <c r="B10" s="39" t="s">
        <v>114</v>
      </c>
    </row>
    <row r="11" spans="2:11" ht="17.25">
      <c r="B11" s="39" t="s">
        <v>115</v>
      </c>
      <c r="H11" s="41" t="s">
        <v>116</v>
      </c>
    </row>
    <row r="12" spans="2:11">
      <c r="B12" s="42" t="s">
        <v>117</v>
      </c>
    </row>
    <row r="13" spans="2:11" ht="17.25">
      <c r="B13" s="39" t="s">
        <v>118</v>
      </c>
    </row>
    <row r="14" spans="2:11" ht="18.75">
      <c r="B14" s="39" t="s">
        <v>119</v>
      </c>
      <c r="C14" s="41"/>
      <c r="E14" s="39">
        <v>5.16</v>
      </c>
      <c r="F14" s="43" t="s">
        <v>120</v>
      </c>
      <c r="G14" s="67">
        <f>E14/100</f>
        <v>5.16E-2</v>
      </c>
      <c r="H14" s="43" t="s">
        <v>121</v>
      </c>
      <c r="I14" s="66">
        <f>POWER(1+G14,1/12) -1</f>
        <v>4.2015362976310922E-3</v>
      </c>
    </row>
    <row r="15" spans="2:11">
      <c r="B15" s="39" t="s">
        <v>122</v>
      </c>
      <c r="F15" s="39" t="s">
        <v>123</v>
      </c>
    </row>
    <row r="16" spans="2:11">
      <c r="B16" s="44" t="s">
        <v>124</v>
      </c>
      <c r="D16" s="45">
        <v>22973.61</v>
      </c>
      <c r="G16" s="46">
        <v>3578</v>
      </c>
    </row>
    <row r="17" spans="2:10">
      <c r="B17" s="44" t="s">
        <v>125</v>
      </c>
      <c r="D17" s="45">
        <v>21789.57</v>
      </c>
      <c r="G17" s="46">
        <v>3248.1</v>
      </c>
    </row>
    <row r="18" spans="2:10">
      <c r="B18" s="44" t="s">
        <v>126</v>
      </c>
      <c r="D18" s="45">
        <v>22414.35</v>
      </c>
      <c r="G18" s="46">
        <v>3256.1</v>
      </c>
    </row>
    <row r="19" spans="2:10">
      <c r="B19" s="44" t="s">
        <v>127</v>
      </c>
      <c r="D19" s="45">
        <v>20186.37</v>
      </c>
      <c r="G19" s="46">
        <v>2911.3</v>
      </c>
    </row>
    <row r="20" spans="2:10">
      <c r="B20" s="44" t="s">
        <v>128</v>
      </c>
      <c r="D20" s="45">
        <v>19578.13</v>
      </c>
      <c r="G20" s="46">
        <v>2826.8</v>
      </c>
    </row>
    <row r="21" spans="2:10">
      <c r="B21" s="44" t="s">
        <v>129</v>
      </c>
      <c r="D21" s="45">
        <v>19248.240000000002</v>
      </c>
      <c r="G21" s="46">
        <v>2903.4</v>
      </c>
    </row>
    <row r="22" spans="2:10">
      <c r="B22" s="44" t="s">
        <v>130</v>
      </c>
      <c r="D22" s="45">
        <v>20802.3</v>
      </c>
      <c r="G22" s="46">
        <v>3244.9</v>
      </c>
    </row>
    <row r="23" spans="2:10">
      <c r="B23" s="44" t="s">
        <v>131</v>
      </c>
      <c r="D23" s="45">
        <v>19942.25</v>
      </c>
      <c r="G23" s="46">
        <v>2980.3</v>
      </c>
    </row>
    <row r="24" spans="2:10">
      <c r="B24" s="44" t="s">
        <v>132</v>
      </c>
      <c r="D24" s="45">
        <v>20332.91</v>
      </c>
      <c r="G24" s="46">
        <v>2895.1</v>
      </c>
    </row>
    <row r="25" spans="2:10">
      <c r="B25" s="44" t="s">
        <v>133</v>
      </c>
      <c r="D25" s="45">
        <v>21299.32</v>
      </c>
      <c r="G25" s="46">
        <v>3075.1</v>
      </c>
    </row>
    <row r="26" spans="2:10">
      <c r="B26" s="44" t="s">
        <v>134</v>
      </c>
      <c r="D26" s="45">
        <v>21763.86</v>
      </c>
      <c r="G26" s="46">
        <v>3230</v>
      </c>
    </row>
    <row r="27" spans="2:10">
      <c r="B27" s="44" t="s">
        <v>135</v>
      </c>
      <c r="D27" s="45">
        <v>21613.26</v>
      </c>
      <c r="G27" s="46">
        <v>2978.6</v>
      </c>
    </row>
    <row r="28" spans="2:10">
      <c r="B28" s="44" t="s">
        <v>124</v>
      </c>
      <c r="D28" s="45">
        <v>21049.759999999998</v>
      </c>
      <c r="G28" s="46">
        <v>2854.9</v>
      </c>
    </row>
    <row r="30" spans="2:10">
      <c r="B30" s="72"/>
      <c r="C30" s="73" t="s">
        <v>136</v>
      </c>
      <c r="D30" s="73"/>
      <c r="E30" s="73"/>
      <c r="F30" s="73"/>
      <c r="G30" s="73" t="s">
        <v>137</v>
      </c>
      <c r="H30" s="73"/>
      <c r="I30" s="73"/>
      <c r="J30" s="73"/>
    </row>
    <row r="31" spans="2:10">
      <c r="B31" s="71"/>
      <c r="C31" s="71" t="s">
        <v>138</v>
      </c>
      <c r="D31" s="71" t="s">
        <v>139</v>
      </c>
      <c r="E31" s="71" t="s">
        <v>140</v>
      </c>
      <c r="F31" s="71"/>
      <c r="G31" s="71" t="s">
        <v>141</v>
      </c>
      <c r="H31" s="71" t="s">
        <v>142</v>
      </c>
      <c r="I31" s="71" t="s">
        <v>143</v>
      </c>
      <c r="J31" s="71"/>
    </row>
    <row r="32" spans="2:10">
      <c r="B32" s="68" t="s">
        <v>125</v>
      </c>
      <c r="C32" s="69">
        <v>21789.57</v>
      </c>
      <c r="D32" s="13">
        <f>(C32/C32)*100</f>
        <v>100</v>
      </c>
      <c r="E32" s="13"/>
      <c r="F32" s="13"/>
      <c r="G32" s="70">
        <v>3248.1</v>
      </c>
      <c r="H32" s="13">
        <f>G32/G32*100</f>
        <v>100</v>
      </c>
      <c r="I32" s="13"/>
      <c r="J32" s="13"/>
    </row>
    <row r="33" spans="2:10">
      <c r="B33" s="68" t="s">
        <v>126</v>
      </c>
      <c r="C33" s="69">
        <v>22414.35</v>
      </c>
      <c r="D33" s="13">
        <f>(C33/C32)*100</f>
        <v>102.86733515163446</v>
      </c>
      <c r="E33" s="13">
        <f>(D33/D32)-1</f>
        <v>2.8673351516344647E-2</v>
      </c>
      <c r="F33" s="13"/>
      <c r="G33" s="70">
        <v>3256.1</v>
      </c>
      <c r="H33" s="13">
        <f>G33/G32*100</f>
        <v>100.24629783565777</v>
      </c>
      <c r="I33" s="13">
        <f>(H33/H32)-1</f>
        <v>2.4629783565777164E-3</v>
      </c>
      <c r="J33" s="13"/>
    </row>
    <row r="34" spans="2:10">
      <c r="B34" s="68" t="s">
        <v>127</v>
      </c>
      <c r="C34" s="69">
        <v>20186.37</v>
      </c>
      <c r="D34" s="13">
        <f>(C34/C33)*100</f>
        <v>90.060028508522436</v>
      </c>
      <c r="E34" s="13">
        <f t="shared" ref="E34:E43" si="0">(D34/D33)-1</f>
        <v>-0.1245031440178076</v>
      </c>
      <c r="F34" s="13"/>
      <c r="G34" s="70">
        <v>2911.3</v>
      </c>
      <c r="H34" s="13">
        <f t="shared" ref="H34:H43" si="1">G34/G33*100</f>
        <v>89.410644636221264</v>
      </c>
      <c r="I34" s="13">
        <f t="shared" ref="I34:I43" si="2">(H34/H33)-1</f>
        <v>-0.10809030790543817</v>
      </c>
      <c r="J34" s="13"/>
    </row>
    <row r="35" spans="2:10">
      <c r="B35" s="68" t="s">
        <v>128</v>
      </c>
      <c r="C35" s="69">
        <v>19578.13</v>
      </c>
      <c r="D35" s="13">
        <f>(C35/C34)*100</f>
        <v>96.986877779412552</v>
      </c>
      <c r="E35" s="13">
        <f t="shared" si="0"/>
        <v>7.6913691740999379E-2</v>
      </c>
      <c r="F35" s="13"/>
      <c r="G35" s="70">
        <v>2826.8</v>
      </c>
      <c r="H35" s="13">
        <f t="shared" si="1"/>
        <v>97.09751657335211</v>
      </c>
      <c r="I35" s="13">
        <f t="shared" si="2"/>
        <v>8.5972671021508296E-2</v>
      </c>
      <c r="J35" s="13"/>
    </row>
    <row r="36" spans="2:10">
      <c r="B36" s="68" t="s">
        <v>129</v>
      </c>
      <c r="C36" s="69">
        <v>19248.240000000002</v>
      </c>
      <c r="D36" s="13">
        <f t="shared" ref="D36:D43" si="3">(C36/C35)*100</f>
        <v>98.315007613086649</v>
      </c>
      <c r="E36" s="13">
        <f t="shared" si="0"/>
        <v>1.3693912662028351E-2</v>
      </c>
      <c r="F36" s="13"/>
      <c r="G36" s="70">
        <v>2903.4</v>
      </c>
      <c r="H36" s="13">
        <f t="shared" si="1"/>
        <v>102.70977784066788</v>
      </c>
      <c r="I36" s="13">
        <f t="shared" si="2"/>
        <v>5.7800255509892429E-2</v>
      </c>
      <c r="J36" s="13"/>
    </row>
    <row r="37" spans="2:10">
      <c r="B37" s="68" t="s">
        <v>130</v>
      </c>
      <c r="C37" s="69">
        <v>20802.3</v>
      </c>
      <c r="D37" s="13">
        <f>(C37/C36)*100</f>
        <v>108.07377713494843</v>
      </c>
      <c r="E37" s="13">
        <f t="shared" si="0"/>
        <v>9.9260222409450316E-2</v>
      </c>
      <c r="F37" s="13"/>
      <c r="G37" s="70">
        <v>3244.9</v>
      </c>
      <c r="H37" s="13">
        <f t="shared" si="1"/>
        <v>111.76207205345456</v>
      </c>
      <c r="I37" s="13">
        <f t="shared" si="2"/>
        <v>8.813468788560086E-2</v>
      </c>
      <c r="J37" s="13"/>
    </row>
    <row r="38" spans="2:10">
      <c r="B38" s="68" t="s">
        <v>131</v>
      </c>
      <c r="C38" s="69">
        <v>19942.25</v>
      </c>
      <c r="D38" s="13">
        <f t="shared" si="3"/>
        <v>95.865601399845218</v>
      </c>
      <c r="E38" s="13">
        <f t="shared" si="0"/>
        <v>-0.11296149777257469</v>
      </c>
      <c r="F38" s="13"/>
      <c r="G38" s="70">
        <v>2980.3</v>
      </c>
      <c r="H38" s="13">
        <f t="shared" si="1"/>
        <v>91.845665505870755</v>
      </c>
      <c r="I38" s="13">
        <f t="shared" si="2"/>
        <v>-0.17820362652240385</v>
      </c>
      <c r="J38" s="13"/>
    </row>
    <row r="39" spans="2:10">
      <c r="B39" s="68" t="s">
        <v>132</v>
      </c>
      <c r="C39" s="69">
        <v>20332.91</v>
      </c>
      <c r="D39" s="13">
        <f t="shared" si="3"/>
        <v>101.9589564868558</v>
      </c>
      <c r="E39" s="13">
        <f t="shared" si="0"/>
        <v>6.3561433903656983E-2</v>
      </c>
      <c r="F39" s="13"/>
      <c r="G39" s="70">
        <v>2895.1</v>
      </c>
      <c r="H39" s="13">
        <f t="shared" si="1"/>
        <v>97.141227393215431</v>
      </c>
      <c r="I39" s="13">
        <f t="shared" si="2"/>
        <v>5.7657178029878686E-2</v>
      </c>
      <c r="J39" s="13"/>
    </row>
    <row r="40" spans="2:10">
      <c r="B40" s="68" t="s">
        <v>133</v>
      </c>
      <c r="C40" s="69">
        <v>21299.32</v>
      </c>
      <c r="D40" s="13">
        <f t="shared" si="3"/>
        <v>104.75293502012255</v>
      </c>
      <c r="E40" s="13">
        <f t="shared" si="0"/>
        <v>2.7402973015195009E-2</v>
      </c>
      <c r="F40" s="13"/>
      <c r="G40" s="70">
        <v>3075.1</v>
      </c>
      <c r="H40" s="13">
        <f t="shared" si="1"/>
        <v>106.21740181686296</v>
      </c>
      <c r="I40" s="13">
        <f t="shared" si="2"/>
        <v>9.3432774808458241E-2</v>
      </c>
      <c r="J40" s="13"/>
    </row>
    <row r="41" spans="2:10">
      <c r="B41" s="68" t="s">
        <v>134</v>
      </c>
      <c r="C41" s="69">
        <v>21763.86</v>
      </c>
      <c r="D41" s="13">
        <f t="shared" si="3"/>
        <v>102.1810085955796</v>
      </c>
      <c r="E41" s="13">
        <f t="shared" si="0"/>
        <v>-2.4552308954865043E-2</v>
      </c>
      <c r="F41" s="13"/>
      <c r="G41" s="70">
        <v>3230</v>
      </c>
      <c r="H41" s="13">
        <f t="shared" si="1"/>
        <v>105.03723456147769</v>
      </c>
      <c r="I41" s="13">
        <f t="shared" si="2"/>
        <v>-1.1110865406217307E-2</v>
      </c>
      <c r="J41" s="13"/>
    </row>
    <row r="42" spans="2:10">
      <c r="B42" s="68" t="s">
        <v>135</v>
      </c>
      <c r="C42" s="69">
        <v>21613.26</v>
      </c>
      <c r="D42" s="13">
        <f t="shared" si="3"/>
        <v>99.308027160623141</v>
      </c>
      <c r="E42" s="13">
        <f t="shared" si="0"/>
        <v>-2.8116589123986624E-2</v>
      </c>
      <c r="F42" s="13"/>
      <c r="G42" s="70">
        <v>2978.6</v>
      </c>
      <c r="H42" s="13">
        <f t="shared" si="1"/>
        <v>92.216718266253878</v>
      </c>
      <c r="I42" s="13">
        <f t="shared" si="2"/>
        <v>-0.12205687201065862</v>
      </c>
      <c r="J42" s="13"/>
    </row>
    <row r="43" spans="2:10">
      <c r="B43" s="68" t="s">
        <v>124</v>
      </c>
      <c r="C43" s="69">
        <v>21049.759999999998</v>
      </c>
      <c r="D43" s="13">
        <f t="shared" si="3"/>
        <v>97.392804232216704</v>
      </c>
      <c r="E43" s="13">
        <f t="shared" si="0"/>
        <v>-1.9285680958183837E-2</v>
      </c>
      <c r="F43" s="13"/>
      <c r="G43" s="70">
        <v>2854.9</v>
      </c>
      <c r="H43" s="13">
        <f t="shared" si="1"/>
        <v>95.847042234606874</v>
      </c>
      <c r="I43" s="13">
        <f t="shared" si="2"/>
        <v>3.9367308191029959E-2</v>
      </c>
      <c r="J43" s="13"/>
    </row>
    <row r="44" spans="2:10">
      <c r="B44" s="13"/>
      <c r="C44" s="13"/>
      <c r="D44" s="13"/>
      <c r="E44" s="13"/>
      <c r="F44" s="13"/>
      <c r="G44" s="13"/>
      <c r="H44" s="13"/>
      <c r="I44" s="13"/>
      <c r="J44" s="13"/>
    </row>
    <row r="46" spans="2:10" ht="16.5" thickBot="1">
      <c r="C46" s="47" t="s">
        <v>169</v>
      </c>
    </row>
    <row r="47" spans="2:10" ht="16.5">
      <c r="B47" s="74"/>
      <c r="C47" s="75" t="s">
        <v>144</v>
      </c>
      <c r="D47" s="75" t="s">
        <v>145</v>
      </c>
      <c r="E47" s="75" t="s">
        <v>146</v>
      </c>
      <c r="F47" s="75" t="s">
        <v>147</v>
      </c>
      <c r="G47" s="75" t="s">
        <v>148</v>
      </c>
      <c r="H47" s="75" t="s">
        <v>149</v>
      </c>
      <c r="I47" s="76" t="s">
        <v>150</v>
      </c>
    </row>
    <row r="48" spans="2:10">
      <c r="B48" s="77" t="s">
        <v>151</v>
      </c>
      <c r="C48" s="48"/>
      <c r="D48" s="48"/>
      <c r="E48" s="48"/>
      <c r="F48" s="48"/>
      <c r="G48" s="48"/>
      <c r="H48" s="48"/>
      <c r="I48" s="49"/>
    </row>
    <row r="49" spans="2:9">
      <c r="B49" s="77" t="s">
        <v>152</v>
      </c>
      <c r="C49" s="50">
        <v>2.8673351516344647E-2</v>
      </c>
      <c r="D49" s="50">
        <v>2.4629783565777164E-3</v>
      </c>
      <c r="E49" s="50">
        <f>C49-$C$60</f>
        <v>2.8665500205412201E-2</v>
      </c>
      <c r="F49" s="50">
        <f>D49-$D$60</f>
        <v>1.9751436331024216E-3</v>
      </c>
      <c r="G49" s="51">
        <f>E49^2</f>
        <v>8.2171090202648694E-4</v>
      </c>
      <c r="H49" s="51">
        <f>F49^2</f>
        <v>3.9011923713850336E-6</v>
      </c>
      <c r="I49" s="52">
        <f>E49*F49</f>
        <v>5.6618480220416064E-5</v>
      </c>
    </row>
    <row r="50" spans="2:9">
      <c r="B50" s="77" t="s">
        <v>153</v>
      </c>
      <c r="C50" s="50">
        <v>-0.1245031440178076</v>
      </c>
      <c r="D50" s="50">
        <v>-0.10809030790543817</v>
      </c>
      <c r="E50" s="50">
        <f t="shared" ref="E50:E59" si="4">C50-$C$60</f>
        <v>-0.12451099532874005</v>
      </c>
      <c r="F50" s="50">
        <f>D50-$D$60</f>
        <v>-0.10857814262891347</v>
      </c>
      <c r="G50" s="51">
        <f>E50^2</f>
        <v>1.5502987957753527E-2</v>
      </c>
      <c r="H50" s="51">
        <f t="shared" ref="H50:H59" si="5">F50^2</f>
        <v>1.1789213056744675E-2</v>
      </c>
      <c r="I50" s="52">
        <f t="shared" ref="I50:I59" si="6">E50*F50</f>
        <v>1.3519172609671915E-2</v>
      </c>
    </row>
    <row r="51" spans="2:9">
      <c r="B51" s="77" t="s">
        <v>154</v>
      </c>
      <c r="C51" s="50">
        <v>7.6913691740999379E-2</v>
      </c>
      <c r="D51" s="50">
        <v>8.5972671021508296E-2</v>
      </c>
      <c r="E51" s="50">
        <f t="shared" si="4"/>
        <v>7.690584043006693E-2</v>
      </c>
      <c r="F51" s="50">
        <f t="shared" ref="F51:F59" si="7">D51-$D$60</f>
        <v>8.5484836298032996E-2</v>
      </c>
      <c r="G51" s="51">
        <f t="shared" ref="G51:G59" si="8">E51^2</f>
        <v>5.9145082922549171E-3</v>
      </c>
      <c r="H51" s="51">
        <f t="shared" si="5"/>
        <v>7.3076572369014997E-3</v>
      </c>
      <c r="I51" s="52">
        <f t="shared" si="6"/>
        <v>6.5742831795269187E-3</v>
      </c>
    </row>
    <row r="52" spans="2:9">
      <c r="B52" s="78" t="s">
        <v>155</v>
      </c>
      <c r="C52" s="50">
        <v>1.3693912662028351E-2</v>
      </c>
      <c r="D52" s="50">
        <v>5.7800255509892429E-2</v>
      </c>
      <c r="E52" s="50">
        <f t="shared" si="4"/>
        <v>1.3686061351095907E-2</v>
      </c>
      <c r="F52" s="50">
        <f t="shared" si="7"/>
        <v>5.7312420786417136E-2</v>
      </c>
      <c r="G52" s="51">
        <f t="shared" si="8"/>
        <v>1.8730827530596112E-4</v>
      </c>
      <c r="H52" s="51">
        <f t="shared" si="5"/>
        <v>3.2847135763993392E-3</v>
      </c>
      <c r="I52" s="52">
        <f t="shared" si="6"/>
        <v>7.843813070627292E-4</v>
      </c>
    </row>
    <row r="53" spans="2:9">
      <c r="B53" s="78" t="s">
        <v>156</v>
      </c>
      <c r="C53" s="50">
        <v>9.9260222409450316E-2</v>
      </c>
      <c r="D53" s="50">
        <v>8.813468788560086E-2</v>
      </c>
      <c r="E53" s="50">
        <f t="shared" si="4"/>
        <v>9.9252371098517866E-2</v>
      </c>
      <c r="F53" s="50">
        <f t="shared" si="7"/>
        <v>8.764685316212556E-2</v>
      </c>
      <c r="G53" s="51">
        <f t="shared" si="8"/>
        <v>9.8510331686779053E-3</v>
      </c>
      <c r="H53" s="51">
        <f t="shared" si="5"/>
        <v>7.6819708692231993E-3</v>
      </c>
      <c r="I53" s="52">
        <f t="shared" si="6"/>
        <v>8.6991579956645897E-3</v>
      </c>
    </row>
    <row r="54" spans="2:9">
      <c r="B54" s="78" t="s">
        <v>157</v>
      </c>
      <c r="C54" s="50">
        <v>-0.11296149777257469</v>
      </c>
      <c r="D54" s="50">
        <v>-0.17820362652240385</v>
      </c>
      <c r="E54" s="50">
        <f t="shared" si="4"/>
        <v>-0.11296934908350714</v>
      </c>
      <c r="F54" s="50">
        <f>D54-$D$60</f>
        <v>-0.17869146124587915</v>
      </c>
      <c r="G54" s="51">
        <f t="shared" si="8"/>
        <v>1.2762073832351296E-2</v>
      </c>
      <c r="H54" s="51">
        <f t="shared" si="5"/>
        <v>3.1930638322187531E-2</v>
      </c>
      <c r="I54" s="52">
        <f t="shared" si="6"/>
        <v>2.018665806372771E-2</v>
      </c>
    </row>
    <row r="55" spans="2:9">
      <c r="B55" s="78" t="s">
        <v>158</v>
      </c>
      <c r="C55" s="50">
        <v>6.3561433903656983E-2</v>
      </c>
      <c r="D55" s="50">
        <v>5.7657178029878686E-2</v>
      </c>
      <c r="E55" s="50">
        <f>C55-$C$60</f>
        <v>6.3553582592724533E-2</v>
      </c>
      <c r="F55" s="50">
        <f t="shared" si="7"/>
        <v>5.7169343306403393E-2</v>
      </c>
      <c r="G55" s="51">
        <f t="shared" si="8"/>
        <v>4.039057860370259E-3</v>
      </c>
      <c r="H55" s="51">
        <f t="shared" si="5"/>
        <v>3.2683338140854106E-3</v>
      </c>
      <c r="I55" s="52">
        <f t="shared" si="6"/>
        <v>3.6333165815953315E-3</v>
      </c>
    </row>
    <row r="56" spans="2:9">
      <c r="B56" s="78" t="s">
        <v>159</v>
      </c>
      <c r="C56" s="50">
        <v>2.7402973015195009E-2</v>
      </c>
      <c r="D56" s="50">
        <v>9.3432774808458241E-2</v>
      </c>
      <c r="E56" s="50">
        <f t="shared" si="4"/>
        <v>2.7395121704262563E-2</v>
      </c>
      <c r="F56" s="50">
        <f t="shared" si="7"/>
        <v>9.2944940084982941E-2</v>
      </c>
      <c r="G56" s="51">
        <f t="shared" si="8"/>
        <v>7.5049269319135779E-4</v>
      </c>
      <c r="H56" s="51">
        <f t="shared" si="5"/>
        <v>8.6387618874010693E-3</v>
      </c>
      <c r="I56" s="52">
        <f t="shared" si="6"/>
        <v>2.5462379454234997E-3</v>
      </c>
    </row>
    <row r="57" spans="2:9">
      <c r="B57" s="79" t="s">
        <v>160</v>
      </c>
      <c r="C57" s="53">
        <v>-2.4552308954865043E-2</v>
      </c>
      <c r="D57" s="53">
        <v>-1.1110865406217307E-2</v>
      </c>
      <c r="E57" s="50">
        <f t="shared" si="4"/>
        <v>-2.4560160265797489E-2</v>
      </c>
      <c r="F57" s="50">
        <f t="shared" si="7"/>
        <v>-1.1598700129692602E-2</v>
      </c>
      <c r="G57" s="51">
        <f t="shared" si="8"/>
        <v>6.0320147228165783E-4</v>
      </c>
      <c r="H57" s="51">
        <f t="shared" si="5"/>
        <v>1.3452984469853119E-4</v>
      </c>
      <c r="I57" s="52">
        <f t="shared" si="6"/>
        <v>2.848659340601764E-4</v>
      </c>
    </row>
    <row r="58" spans="2:9">
      <c r="B58" s="78" t="s">
        <v>161</v>
      </c>
      <c r="C58" s="50">
        <v>-2.8116589123986624E-2</v>
      </c>
      <c r="D58" s="50">
        <v>-0.12205687201065862</v>
      </c>
      <c r="E58" s="50">
        <f t="shared" si="4"/>
        <v>-2.812444043491907E-2</v>
      </c>
      <c r="F58" s="50">
        <f t="shared" si="7"/>
        <v>-0.12254470673413392</v>
      </c>
      <c r="G58" s="51">
        <f t="shared" si="8"/>
        <v>7.9098414977731078E-4</v>
      </c>
      <c r="H58" s="51">
        <f t="shared" si="5"/>
        <v>1.5017205148554888E-2</v>
      </c>
      <c r="I58" s="52">
        <f t="shared" si="6"/>
        <v>3.4465013051587752E-3</v>
      </c>
    </row>
    <row r="59" spans="2:9" ht="16.5" thickBot="1">
      <c r="B59" s="80" t="s">
        <v>162</v>
      </c>
      <c r="C59" s="54">
        <v>-1.9285680958183837E-2</v>
      </c>
      <c r="D59" s="54">
        <v>3.9367308191029959E-2</v>
      </c>
      <c r="E59" s="50">
        <f t="shared" si="4"/>
        <v>-1.9293532269116283E-2</v>
      </c>
      <c r="F59" s="50">
        <f t="shared" si="7"/>
        <v>3.8879473467554666E-2</v>
      </c>
      <c r="G59" s="51">
        <f t="shared" si="8"/>
        <v>3.7224038741943131E-4</v>
      </c>
      <c r="H59" s="51">
        <f t="shared" si="5"/>
        <v>1.5116134571142874E-3</v>
      </c>
      <c r="I59" s="52">
        <f t="shared" si="6"/>
        <v>-7.5012237595251628E-4</v>
      </c>
    </row>
    <row r="60" spans="2:9" ht="19.5" thickBot="1">
      <c r="B60" s="55"/>
      <c r="C60" s="56">
        <f>SUM(C49:C59)/11</f>
        <v>7.8513109324445711E-6</v>
      </c>
      <c r="D60" s="57">
        <f>AVERAGE(D49:D59)</f>
        <v>4.8783472347529495E-4</v>
      </c>
      <c r="E60" s="50"/>
      <c r="F60" s="58" t="s">
        <v>163</v>
      </c>
      <c r="G60" s="51">
        <f>AVERAGE(G49:G59)</f>
        <v>4.690508999219101E-3</v>
      </c>
      <c r="H60" s="51">
        <f>AVERAGE(H49:H59)</f>
        <v>8.2335034914256186E-3</v>
      </c>
      <c r="I60" s="52">
        <f>AVERAGE(I49:I59)</f>
        <v>5.3619155478326873E-3</v>
      </c>
    </row>
    <row r="61" spans="2:9" ht="16.5" thickBot="1">
      <c r="B61" s="59"/>
      <c r="C61" s="54"/>
      <c r="D61" s="54"/>
      <c r="E61" s="50"/>
      <c r="F61" s="60" t="s">
        <v>164</v>
      </c>
      <c r="G61" s="51">
        <f>SQRT(G60)</f>
        <v>6.8487290786094765E-2</v>
      </c>
      <c r="H61" s="51">
        <f>SQRT(H60)</f>
        <v>9.0738654890986883E-2</v>
      </c>
      <c r="I61" s="52"/>
    </row>
    <row r="62" spans="2:9" ht="19.5">
      <c r="B62" s="61" t="s">
        <v>165</v>
      </c>
      <c r="D62" s="62" t="s">
        <v>166</v>
      </c>
      <c r="E62" s="63"/>
    </row>
    <row r="63" spans="2:9" ht="17.25">
      <c r="B63" s="64" t="s">
        <v>69</v>
      </c>
      <c r="F63" s="39" t="s">
        <v>170</v>
      </c>
    </row>
    <row r="64" spans="2:9" ht="17.25">
      <c r="B64" s="11" t="s">
        <v>167</v>
      </c>
      <c r="C64" s="8"/>
      <c r="E64" s="8"/>
      <c r="F64" s="8" t="s">
        <v>171</v>
      </c>
      <c r="G64" s="8"/>
      <c r="H64" s="8"/>
    </row>
    <row r="65" spans="2:8">
      <c r="B65" s="8"/>
      <c r="C65" s="8"/>
      <c r="D65" s="8"/>
      <c r="E65" s="8"/>
      <c r="F65" s="8"/>
      <c r="G65" s="8"/>
      <c r="H65" s="8"/>
    </row>
    <row r="66" spans="2:8" ht="17.25">
      <c r="B66" s="61" t="s">
        <v>165</v>
      </c>
      <c r="C66" s="39">
        <f>I60/G60</f>
        <v>1.143141511662245</v>
      </c>
    </row>
    <row r="67" spans="2:8">
      <c r="B67" s="43" t="s">
        <v>168</v>
      </c>
      <c r="C67" s="65">
        <v>4.2015362976310904E-3</v>
      </c>
    </row>
    <row r="68" spans="2:8" s="83" customFormat="1">
      <c r="B68" s="81"/>
      <c r="C68" s="82"/>
    </row>
    <row r="69" spans="2:8">
      <c r="B69" s="81"/>
      <c r="C69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PROBLEMA 1</vt:lpstr>
      <vt:lpstr>PROBLEMA 2</vt:lpstr>
      <vt:lpstr>PROBLEMA 3</vt:lpstr>
      <vt:lpstr>PROBLEMA BETA.CENCOSUD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Cristóbal Videla-Hintze</cp:lastModifiedBy>
  <dcterms:created xsi:type="dcterms:W3CDTF">2012-12-17T00:44:55Z</dcterms:created>
  <dcterms:modified xsi:type="dcterms:W3CDTF">2016-10-20T03:54:55Z</dcterms:modified>
</cp:coreProperties>
</file>