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1595" windowHeight="8010"/>
  </bookViews>
  <sheets>
    <sheet name="SOLUCIONES" sheetId="27" r:id="rId1"/>
    <sheet name="P 01" sheetId="1" r:id="rId2"/>
    <sheet name="P 02" sheetId="26" r:id="rId3"/>
    <sheet name="P 03" sheetId="8" r:id="rId4"/>
    <sheet name="P 04" sheetId="7" r:id="rId5"/>
    <sheet name="P 05" sheetId="6" r:id="rId6"/>
    <sheet name="P 06" sheetId="5" r:id="rId7"/>
    <sheet name="P 07" sheetId="4" r:id="rId8"/>
    <sheet name="P 08" sheetId="10" r:id="rId9"/>
    <sheet name="P 09" sheetId="9" r:id="rId10"/>
    <sheet name="P 10" sheetId="3" r:id="rId11"/>
    <sheet name="P 11" sheetId="25" r:id="rId12"/>
    <sheet name="P 12" sheetId="24" r:id="rId13"/>
  </sheets>
  <calcPr calcId="125725"/>
</workbook>
</file>

<file path=xl/calcChain.xml><?xml version="1.0" encoding="utf-8"?>
<calcChain xmlns="http://schemas.openxmlformats.org/spreadsheetml/2006/main">
  <c r="I12" i="5"/>
  <c r="F12"/>
  <c r="F7" i="8"/>
  <c r="J20" i="5"/>
  <c r="G20"/>
  <c r="O10" i="6" l="1"/>
  <c r="S10"/>
  <c r="W10"/>
  <c r="O11"/>
  <c r="S11"/>
  <c r="W11"/>
  <c r="O12"/>
  <c r="S12"/>
  <c r="W12"/>
  <c r="O13"/>
  <c r="S13"/>
  <c r="W13"/>
  <c r="O14"/>
  <c r="S14"/>
  <c r="W14"/>
  <c r="O15"/>
  <c r="S15"/>
  <c r="W15"/>
  <c r="O16"/>
  <c r="S16"/>
  <c r="W16"/>
  <c r="O17"/>
  <c r="S17"/>
  <c r="W17"/>
  <c r="O18"/>
  <c r="S18"/>
  <c r="W18"/>
  <c r="O19"/>
  <c r="S19"/>
  <c r="W19"/>
  <c r="O20"/>
  <c r="S20"/>
  <c r="W20"/>
  <c r="O21"/>
  <c r="S21"/>
  <c r="W21"/>
  <c r="O22"/>
  <c r="S22"/>
  <c r="W22"/>
  <c r="O23"/>
  <c r="S23"/>
  <c r="W23"/>
  <c r="O24"/>
  <c r="S24"/>
  <c r="W24"/>
  <c r="O25"/>
  <c r="S25"/>
  <c r="W25"/>
  <c r="O26"/>
  <c r="S26"/>
  <c r="W26"/>
  <c r="O27"/>
  <c r="S27"/>
  <c r="W27"/>
  <c r="O28"/>
  <c r="S28"/>
  <c r="W28"/>
  <c r="O29"/>
  <c r="S29"/>
  <c r="W29"/>
  <c r="O30"/>
  <c r="S30"/>
  <c r="W30"/>
  <c r="O31"/>
  <c r="S31"/>
  <c r="W31"/>
  <c r="O32"/>
  <c r="S32"/>
  <c r="W32"/>
  <c r="K12" i="7"/>
  <c r="L12"/>
  <c r="K13"/>
  <c r="L13"/>
  <c r="K14"/>
  <c r="L14"/>
  <c r="K15"/>
  <c r="L15"/>
  <c r="K16"/>
  <c r="L16"/>
  <c r="K17"/>
  <c r="L17"/>
  <c r="K18"/>
  <c r="L18"/>
  <c r="K19"/>
  <c r="L19"/>
  <c r="K20"/>
  <c r="L20"/>
  <c r="K21"/>
  <c r="L21"/>
  <c r="K22"/>
  <c r="L22"/>
  <c r="K23"/>
  <c r="L23"/>
  <c r="K24"/>
  <c r="L24"/>
  <c r="K25"/>
  <c r="L25"/>
  <c r="K26"/>
  <c r="L26"/>
  <c r="K27"/>
  <c r="L27"/>
  <c r="K28"/>
  <c r="L28"/>
  <c r="K29"/>
  <c r="L29"/>
  <c r="K30"/>
  <c r="L30"/>
  <c r="K31"/>
  <c r="L31"/>
  <c r="K32"/>
  <c r="L32"/>
  <c r="K33"/>
  <c r="L33"/>
  <c r="K34"/>
  <c r="L34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D9" i="8"/>
  <c r="F9" s="1"/>
  <c r="E9"/>
  <c r="D10"/>
  <c r="E10"/>
  <c r="F10" s="1"/>
  <c r="D11"/>
  <c r="E11"/>
  <c r="F11"/>
  <c r="D12"/>
  <c r="F12" s="1"/>
  <c r="E12"/>
  <c r="D13"/>
  <c r="F13" s="1"/>
  <c r="E13"/>
  <c r="D14"/>
  <c r="E14"/>
  <c r="F14" s="1"/>
  <c r="D15"/>
  <c r="E15"/>
  <c r="F15"/>
  <c r="D16"/>
  <c r="F16" s="1"/>
  <c r="E16"/>
  <c r="D17"/>
  <c r="F17" s="1"/>
  <c r="E17"/>
  <c r="D18"/>
  <c r="E18"/>
  <c r="F18" s="1"/>
  <c r="D19"/>
  <c r="E19"/>
  <c r="F19"/>
  <c r="D20"/>
  <c r="F20" s="1"/>
  <c r="E20"/>
  <c r="D21"/>
  <c r="F21" s="1"/>
  <c r="E21"/>
  <c r="D22"/>
  <c r="E22"/>
  <c r="F22" s="1"/>
  <c r="D23"/>
  <c r="F23" s="1"/>
  <c r="E23"/>
  <c r="D24"/>
  <c r="F24" s="1"/>
  <c r="E24"/>
  <c r="D25"/>
  <c r="F25" s="1"/>
  <c r="E25"/>
  <c r="D26"/>
  <c r="E26"/>
  <c r="F26" s="1"/>
  <c r="D27"/>
  <c r="E27"/>
  <c r="F27"/>
  <c r="D28"/>
  <c r="F28" s="1"/>
  <c r="E28"/>
  <c r="D29"/>
  <c r="F29" s="1"/>
  <c r="E29"/>
  <c r="D30"/>
  <c r="E30"/>
  <c r="F30" s="1"/>
  <c r="D31"/>
  <c r="E31"/>
  <c r="F31"/>
  <c r="D14" i="26" l="1"/>
  <c r="E14"/>
  <c r="K14" s="1"/>
  <c r="F14"/>
  <c r="G14"/>
  <c r="J14"/>
  <c r="L14"/>
  <c r="Q14"/>
  <c r="R14"/>
  <c r="S14"/>
  <c r="T14" s="1"/>
  <c r="U14" s="1"/>
  <c r="D15"/>
  <c r="K15" s="1"/>
  <c r="E15"/>
  <c r="F15"/>
  <c r="G15"/>
  <c r="I15"/>
  <c r="M15"/>
  <c r="Q15"/>
  <c r="S15" s="1"/>
  <c r="T15" s="1"/>
  <c r="U15" s="1"/>
  <c r="R15"/>
  <c r="D16"/>
  <c r="E16"/>
  <c r="I16" s="1"/>
  <c r="F16"/>
  <c r="G16"/>
  <c r="J16"/>
  <c r="L16"/>
  <c r="Q16"/>
  <c r="S16" s="1"/>
  <c r="T16" s="1"/>
  <c r="U16" s="1"/>
  <c r="R16"/>
  <c r="D17"/>
  <c r="L17" s="1"/>
  <c r="E17"/>
  <c r="F17"/>
  <c r="I17" s="1"/>
  <c r="G17"/>
  <c r="K17"/>
  <c r="Q17"/>
  <c r="R17"/>
  <c r="S17" s="1"/>
  <c r="T17" s="1"/>
  <c r="U17" s="1"/>
  <c r="D18"/>
  <c r="K18" s="1"/>
  <c r="E18"/>
  <c r="L18" s="1"/>
  <c r="F18"/>
  <c r="G18"/>
  <c r="J18"/>
  <c r="Q18"/>
  <c r="R18"/>
  <c r="S18"/>
  <c r="T18" s="1"/>
  <c r="U18" s="1"/>
  <c r="D19"/>
  <c r="K19" s="1"/>
  <c r="E19"/>
  <c r="F19"/>
  <c r="G19"/>
  <c r="I19"/>
  <c r="M19"/>
  <c r="Q19"/>
  <c r="S19" s="1"/>
  <c r="T19" s="1"/>
  <c r="U19" s="1"/>
  <c r="R19"/>
  <c r="D20"/>
  <c r="E20"/>
  <c r="I20" s="1"/>
  <c r="F20"/>
  <c r="G20"/>
  <c r="J20"/>
  <c r="L20"/>
  <c r="Q20"/>
  <c r="S20" s="1"/>
  <c r="T20" s="1"/>
  <c r="U20" s="1"/>
  <c r="R20"/>
  <c r="D21"/>
  <c r="L21" s="1"/>
  <c r="E21"/>
  <c r="F21"/>
  <c r="I21" s="1"/>
  <c r="G21"/>
  <c r="K21"/>
  <c r="Q21"/>
  <c r="R21"/>
  <c r="S21" s="1"/>
  <c r="T21" s="1"/>
  <c r="U21" s="1"/>
  <c r="D22"/>
  <c r="K22" s="1"/>
  <c r="E22"/>
  <c r="L22" s="1"/>
  <c r="F22"/>
  <c r="G22"/>
  <c r="J22"/>
  <c r="Q22"/>
  <c r="R22"/>
  <c r="S22"/>
  <c r="T22" s="1"/>
  <c r="U22" s="1"/>
  <c r="D23"/>
  <c r="K23" s="1"/>
  <c r="E23"/>
  <c r="F23"/>
  <c r="G23"/>
  <c r="I23"/>
  <c r="M23"/>
  <c r="Q23"/>
  <c r="S23" s="1"/>
  <c r="T23" s="1"/>
  <c r="U23" s="1"/>
  <c r="R23"/>
  <c r="D24"/>
  <c r="E24"/>
  <c r="I24" s="1"/>
  <c r="F24"/>
  <c r="G24"/>
  <c r="J24"/>
  <c r="L24"/>
  <c r="Q24"/>
  <c r="S24" s="1"/>
  <c r="T24" s="1"/>
  <c r="U24" s="1"/>
  <c r="R24"/>
  <c r="D25"/>
  <c r="L25" s="1"/>
  <c r="E25"/>
  <c r="F25"/>
  <c r="I25" s="1"/>
  <c r="G25"/>
  <c r="K25"/>
  <c r="Q25"/>
  <c r="R25"/>
  <c r="S25" s="1"/>
  <c r="T25" s="1"/>
  <c r="U25" s="1"/>
  <c r="D26"/>
  <c r="K26" s="1"/>
  <c r="E26"/>
  <c r="L26" s="1"/>
  <c r="F26"/>
  <c r="G26"/>
  <c r="J26"/>
  <c r="Q26"/>
  <c r="R26"/>
  <c r="S26"/>
  <c r="T26" s="1"/>
  <c r="U26" s="1"/>
  <c r="D27"/>
  <c r="K27" s="1"/>
  <c r="E27"/>
  <c r="F27"/>
  <c r="G27"/>
  <c r="I27"/>
  <c r="M27"/>
  <c r="Q27"/>
  <c r="S27" s="1"/>
  <c r="T27" s="1"/>
  <c r="U27" s="1"/>
  <c r="R27"/>
  <c r="D28"/>
  <c r="E28"/>
  <c r="I28" s="1"/>
  <c r="F28"/>
  <c r="G28"/>
  <c r="J28"/>
  <c r="L28"/>
  <c r="Q28"/>
  <c r="S28" s="1"/>
  <c r="T28" s="1"/>
  <c r="U28" s="1"/>
  <c r="R28"/>
  <c r="D29"/>
  <c r="L29" s="1"/>
  <c r="E29"/>
  <c r="F29"/>
  <c r="I29" s="1"/>
  <c r="G29"/>
  <c r="K29"/>
  <c r="Q29"/>
  <c r="R29"/>
  <c r="S29" s="1"/>
  <c r="T29" s="1"/>
  <c r="U29" s="1"/>
  <c r="D30"/>
  <c r="K30" s="1"/>
  <c r="E30"/>
  <c r="L30" s="1"/>
  <c r="F30"/>
  <c r="G30"/>
  <c r="J30"/>
  <c r="Q30"/>
  <c r="R30"/>
  <c r="S30"/>
  <c r="T30" s="1"/>
  <c r="U30" s="1"/>
  <c r="D31"/>
  <c r="K31" s="1"/>
  <c r="E31"/>
  <c r="F31"/>
  <c r="G31"/>
  <c r="I31"/>
  <c r="M31"/>
  <c r="Q31"/>
  <c r="S31" s="1"/>
  <c r="T31" s="1"/>
  <c r="U31" s="1"/>
  <c r="R31"/>
  <c r="D32"/>
  <c r="E32"/>
  <c r="I32" s="1"/>
  <c r="F32"/>
  <c r="G32"/>
  <c r="J32"/>
  <c r="L32"/>
  <c r="Q32"/>
  <c r="S32" s="1"/>
  <c r="T32" s="1"/>
  <c r="U32" s="1"/>
  <c r="R32"/>
  <c r="D33"/>
  <c r="L33" s="1"/>
  <c r="E33"/>
  <c r="F33"/>
  <c r="I33" s="1"/>
  <c r="G33"/>
  <c r="K33"/>
  <c r="Q33"/>
  <c r="R33"/>
  <c r="S33" s="1"/>
  <c r="T33" s="1"/>
  <c r="U33" s="1"/>
  <c r="D34"/>
  <c r="K34" s="1"/>
  <c r="E34"/>
  <c r="L34" s="1"/>
  <c r="F34"/>
  <c r="G34"/>
  <c r="J34"/>
  <c r="Q34"/>
  <c r="R34"/>
  <c r="S34"/>
  <c r="T34" s="1"/>
  <c r="U34" s="1"/>
  <c r="D35"/>
  <c r="K35" s="1"/>
  <c r="E35"/>
  <c r="F35"/>
  <c r="G35"/>
  <c r="I35"/>
  <c r="M35"/>
  <c r="Q35"/>
  <c r="S35" s="1"/>
  <c r="T35" s="1"/>
  <c r="U35" s="1"/>
  <c r="R35"/>
  <c r="D36"/>
  <c r="E36"/>
  <c r="I36" s="1"/>
  <c r="F36"/>
  <c r="G36"/>
  <c r="J36"/>
  <c r="L36"/>
  <c r="Q36"/>
  <c r="S36" s="1"/>
  <c r="T36" s="1"/>
  <c r="U36" s="1"/>
  <c r="R36"/>
  <c r="E11" i="1"/>
  <c r="G11" s="1"/>
  <c r="F11"/>
  <c r="H11"/>
  <c r="I11"/>
  <c r="J11"/>
  <c r="K11"/>
  <c r="L11"/>
  <c r="M11"/>
  <c r="N11"/>
  <c r="P11" s="1"/>
  <c r="O11"/>
  <c r="E12"/>
  <c r="G12" s="1"/>
  <c r="F12"/>
  <c r="H12"/>
  <c r="I12"/>
  <c r="J12"/>
  <c r="K12"/>
  <c r="L12"/>
  <c r="M12"/>
  <c r="N12"/>
  <c r="P12" s="1"/>
  <c r="O12"/>
  <c r="E13"/>
  <c r="G13" s="1"/>
  <c r="F13"/>
  <c r="H13"/>
  <c r="I13"/>
  <c r="J13"/>
  <c r="K13"/>
  <c r="L13"/>
  <c r="M13"/>
  <c r="N13"/>
  <c r="P13" s="1"/>
  <c r="O13"/>
  <c r="E14"/>
  <c r="G14" s="1"/>
  <c r="F14"/>
  <c r="H14"/>
  <c r="I14"/>
  <c r="J14"/>
  <c r="K14"/>
  <c r="L14"/>
  <c r="M14"/>
  <c r="N14"/>
  <c r="P14" s="1"/>
  <c r="O14"/>
  <c r="E15"/>
  <c r="G15" s="1"/>
  <c r="F15"/>
  <c r="H15"/>
  <c r="I15"/>
  <c r="J15"/>
  <c r="K15"/>
  <c r="L15"/>
  <c r="M15"/>
  <c r="N15"/>
  <c r="P15" s="1"/>
  <c r="O15"/>
  <c r="E16"/>
  <c r="G16" s="1"/>
  <c r="F16"/>
  <c r="H16"/>
  <c r="I16"/>
  <c r="J16"/>
  <c r="K16"/>
  <c r="L16"/>
  <c r="M16"/>
  <c r="N16"/>
  <c r="P16" s="1"/>
  <c r="O16"/>
  <c r="E17"/>
  <c r="G17" s="1"/>
  <c r="F17"/>
  <c r="H17"/>
  <c r="I17"/>
  <c r="J17"/>
  <c r="K17"/>
  <c r="L17"/>
  <c r="M17"/>
  <c r="N17"/>
  <c r="P17" s="1"/>
  <c r="O17"/>
  <c r="E18"/>
  <c r="G18" s="1"/>
  <c r="F18"/>
  <c r="H18"/>
  <c r="I18"/>
  <c r="J18"/>
  <c r="K18"/>
  <c r="L18"/>
  <c r="M18"/>
  <c r="N18"/>
  <c r="P18" s="1"/>
  <c r="O18"/>
  <c r="E19"/>
  <c r="G19" s="1"/>
  <c r="F19"/>
  <c r="H19"/>
  <c r="I19"/>
  <c r="J19"/>
  <c r="K19"/>
  <c r="L19"/>
  <c r="M19"/>
  <c r="N19"/>
  <c r="P19" s="1"/>
  <c r="O19"/>
  <c r="E20"/>
  <c r="G20" s="1"/>
  <c r="F20"/>
  <c r="H20"/>
  <c r="I20"/>
  <c r="J20"/>
  <c r="K20"/>
  <c r="L20"/>
  <c r="M20"/>
  <c r="N20"/>
  <c r="P20" s="1"/>
  <c r="O20"/>
  <c r="E21"/>
  <c r="G21" s="1"/>
  <c r="F21"/>
  <c r="H21"/>
  <c r="I21"/>
  <c r="J21"/>
  <c r="K21"/>
  <c r="L21"/>
  <c r="M21"/>
  <c r="N21"/>
  <c r="P21" s="1"/>
  <c r="O21"/>
  <c r="E22"/>
  <c r="G22" s="1"/>
  <c r="F22"/>
  <c r="H22"/>
  <c r="I22"/>
  <c r="J22"/>
  <c r="K22"/>
  <c r="L22"/>
  <c r="M22"/>
  <c r="N22"/>
  <c r="P22" s="1"/>
  <c r="O22"/>
  <c r="E23"/>
  <c r="G23" s="1"/>
  <c r="F23"/>
  <c r="H23"/>
  <c r="I23"/>
  <c r="J23"/>
  <c r="K23"/>
  <c r="L23"/>
  <c r="M23"/>
  <c r="N23"/>
  <c r="P23" s="1"/>
  <c r="O23"/>
  <c r="E24"/>
  <c r="G24" s="1"/>
  <c r="F24"/>
  <c r="H24"/>
  <c r="I24"/>
  <c r="J24"/>
  <c r="K24"/>
  <c r="L24"/>
  <c r="M24"/>
  <c r="N24"/>
  <c r="P24" s="1"/>
  <c r="O24"/>
  <c r="E25"/>
  <c r="G25" s="1"/>
  <c r="F25"/>
  <c r="H25"/>
  <c r="I25"/>
  <c r="J25"/>
  <c r="K25"/>
  <c r="L25"/>
  <c r="M25"/>
  <c r="N25"/>
  <c r="P25" s="1"/>
  <c r="O25"/>
  <c r="E26"/>
  <c r="G26" s="1"/>
  <c r="F26"/>
  <c r="H26"/>
  <c r="I26"/>
  <c r="J26"/>
  <c r="K26"/>
  <c r="L26"/>
  <c r="M26"/>
  <c r="N26"/>
  <c r="P26" s="1"/>
  <c r="O26"/>
  <c r="E27"/>
  <c r="G27" s="1"/>
  <c r="F27"/>
  <c r="H27"/>
  <c r="I27"/>
  <c r="J27"/>
  <c r="K27"/>
  <c r="L27"/>
  <c r="M27"/>
  <c r="N27"/>
  <c r="P27" s="1"/>
  <c r="O27"/>
  <c r="E28"/>
  <c r="G28" s="1"/>
  <c r="F28"/>
  <c r="H28"/>
  <c r="I28"/>
  <c r="J28"/>
  <c r="K28"/>
  <c r="L28"/>
  <c r="M28"/>
  <c r="N28"/>
  <c r="P28" s="1"/>
  <c r="O28"/>
  <c r="E29"/>
  <c r="G29" s="1"/>
  <c r="F29"/>
  <c r="H29"/>
  <c r="I29"/>
  <c r="J29"/>
  <c r="K29"/>
  <c r="L29"/>
  <c r="M29"/>
  <c r="N29"/>
  <c r="P29" s="1"/>
  <c r="O29"/>
  <c r="E30"/>
  <c r="G30" s="1"/>
  <c r="F30"/>
  <c r="H30"/>
  <c r="I30"/>
  <c r="J30"/>
  <c r="K30"/>
  <c r="L30"/>
  <c r="M30"/>
  <c r="N30"/>
  <c r="P30" s="1"/>
  <c r="O30"/>
  <c r="E31"/>
  <c r="G31" s="1"/>
  <c r="F31"/>
  <c r="H31"/>
  <c r="I31"/>
  <c r="J31"/>
  <c r="K31"/>
  <c r="L31"/>
  <c r="M31"/>
  <c r="N31"/>
  <c r="P31" s="1"/>
  <c r="O31"/>
  <c r="E32"/>
  <c r="G32" s="1"/>
  <c r="F32"/>
  <c r="H32"/>
  <c r="I32"/>
  <c r="J32" s="1"/>
  <c r="K32"/>
  <c r="L32"/>
  <c r="M32"/>
  <c r="N32"/>
  <c r="P32" s="1"/>
  <c r="O32"/>
  <c r="E33"/>
  <c r="G33" s="1"/>
  <c r="F33"/>
  <c r="H33"/>
  <c r="I33"/>
  <c r="J33" s="1"/>
  <c r="K33"/>
  <c r="L33"/>
  <c r="M33"/>
  <c r="N33"/>
  <c r="P33" s="1"/>
  <c r="O33"/>
  <c r="E17" i="5"/>
  <c r="I17" s="1"/>
  <c r="E18"/>
  <c r="F18"/>
  <c r="J18" s="1"/>
  <c r="I18"/>
  <c r="L18"/>
  <c r="M18" s="1"/>
  <c r="E19"/>
  <c r="F19" s="1"/>
  <c r="E20"/>
  <c r="F20"/>
  <c r="I20"/>
  <c r="L20"/>
  <c r="E21"/>
  <c r="I21" s="1"/>
  <c r="E22"/>
  <c r="F22"/>
  <c r="J22" s="1"/>
  <c r="I22"/>
  <c r="L22"/>
  <c r="E23"/>
  <c r="F23" s="1"/>
  <c r="E24"/>
  <c r="F24"/>
  <c r="G24" s="1"/>
  <c r="I24"/>
  <c r="L24"/>
  <c r="E25"/>
  <c r="I25" s="1"/>
  <c r="E26"/>
  <c r="F26"/>
  <c r="J26" s="1"/>
  <c r="I26"/>
  <c r="L26"/>
  <c r="E27"/>
  <c r="F27" s="1"/>
  <c r="E28"/>
  <c r="F28" s="1"/>
  <c r="G28" s="1"/>
  <c r="E29"/>
  <c r="I29" s="1"/>
  <c r="E30"/>
  <c r="I30" s="1"/>
  <c r="L30"/>
  <c r="E31"/>
  <c r="F31" s="1"/>
  <c r="E32"/>
  <c r="F32" s="1"/>
  <c r="G32" s="1"/>
  <c r="I32"/>
  <c r="L32"/>
  <c r="E33"/>
  <c r="I33" s="1"/>
  <c r="E34"/>
  <c r="F34"/>
  <c r="J34" s="1"/>
  <c r="I34"/>
  <c r="L34"/>
  <c r="E35"/>
  <c r="F35" s="1"/>
  <c r="E36"/>
  <c r="F36" s="1"/>
  <c r="G36" s="1"/>
  <c r="E37"/>
  <c r="I37" s="1"/>
  <c r="E38"/>
  <c r="I38" s="1"/>
  <c r="L38"/>
  <c r="E39"/>
  <c r="F39" s="1"/>
  <c r="F15"/>
  <c r="F38" l="1"/>
  <c r="J38" s="1"/>
  <c r="I36"/>
  <c r="F30"/>
  <c r="J30" s="1"/>
  <c r="M30" s="1"/>
  <c r="I28"/>
  <c r="M38"/>
  <c r="L36"/>
  <c r="L28"/>
  <c r="M22"/>
  <c r="N34" i="26"/>
  <c r="N18"/>
  <c r="K36"/>
  <c r="L35"/>
  <c r="M34"/>
  <c r="I34"/>
  <c r="O34" s="1"/>
  <c r="V34" s="1"/>
  <c r="J33"/>
  <c r="K32"/>
  <c r="N32" s="1"/>
  <c r="O32" s="1"/>
  <c r="V32" s="1"/>
  <c r="L31"/>
  <c r="M30"/>
  <c r="N30" s="1"/>
  <c r="I30"/>
  <c r="J29"/>
  <c r="N29" s="1"/>
  <c r="O29" s="1"/>
  <c r="V29" s="1"/>
  <c r="K28"/>
  <c r="L27"/>
  <c r="M26"/>
  <c r="N26" s="1"/>
  <c r="I26"/>
  <c r="J25"/>
  <c r="K24"/>
  <c r="N24" s="1"/>
  <c r="O24" s="1"/>
  <c r="V24" s="1"/>
  <c r="L23"/>
  <c r="M22"/>
  <c r="N22" s="1"/>
  <c r="I22"/>
  <c r="J21"/>
  <c r="N21" s="1"/>
  <c r="O21" s="1"/>
  <c r="V21" s="1"/>
  <c r="K20"/>
  <c r="L19"/>
  <c r="M18"/>
  <c r="I18"/>
  <c r="O18" s="1"/>
  <c r="V18" s="1"/>
  <c r="J17"/>
  <c r="K16"/>
  <c r="N16" s="1"/>
  <c r="O16" s="1"/>
  <c r="V16" s="1"/>
  <c r="L15"/>
  <c r="M14"/>
  <c r="N14" s="1"/>
  <c r="I14"/>
  <c r="M36"/>
  <c r="J35"/>
  <c r="N35" s="1"/>
  <c r="O35" s="1"/>
  <c r="V35" s="1"/>
  <c r="M32"/>
  <c r="J31"/>
  <c r="N31" s="1"/>
  <c r="O31" s="1"/>
  <c r="V31" s="1"/>
  <c r="M28"/>
  <c r="J27"/>
  <c r="N27" s="1"/>
  <c r="O27" s="1"/>
  <c r="V27" s="1"/>
  <c r="M24"/>
  <c r="J23"/>
  <c r="N23" s="1"/>
  <c r="O23" s="1"/>
  <c r="V23" s="1"/>
  <c r="M20"/>
  <c r="J19"/>
  <c r="N19" s="1"/>
  <c r="O19" s="1"/>
  <c r="V19" s="1"/>
  <c r="M16"/>
  <c r="J15"/>
  <c r="N15" s="1"/>
  <c r="O15" s="1"/>
  <c r="V15" s="1"/>
  <c r="M33"/>
  <c r="M29"/>
  <c r="M25"/>
  <c r="M21"/>
  <c r="M17"/>
  <c r="G39" i="5"/>
  <c r="J39"/>
  <c r="G31"/>
  <c r="J31"/>
  <c r="J23"/>
  <c r="G23"/>
  <c r="M34"/>
  <c r="M26"/>
  <c r="J35"/>
  <c r="G35"/>
  <c r="G27"/>
  <c r="J27"/>
  <c r="J19"/>
  <c r="G19"/>
  <c r="I39"/>
  <c r="G38"/>
  <c r="L37"/>
  <c r="F37"/>
  <c r="J36"/>
  <c r="M36" s="1"/>
  <c r="I35"/>
  <c r="G34"/>
  <c r="L33"/>
  <c r="F33"/>
  <c r="J32"/>
  <c r="M32" s="1"/>
  <c r="I31"/>
  <c r="L29"/>
  <c r="F29"/>
  <c r="J28"/>
  <c r="I27"/>
  <c r="G26"/>
  <c r="L25"/>
  <c r="F25"/>
  <c r="J24"/>
  <c r="M24" s="1"/>
  <c r="I23"/>
  <c r="G22"/>
  <c r="L21"/>
  <c r="F21"/>
  <c r="M20"/>
  <c r="I19"/>
  <c r="G18"/>
  <c r="L17"/>
  <c r="F17"/>
  <c r="L39"/>
  <c r="L35"/>
  <c r="L31"/>
  <c r="M31" s="1"/>
  <c r="L27"/>
  <c r="L23"/>
  <c r="M23" s="1"/>
  <c r="L19"/>
  <c r="J16"/>
  <c r="I16"/>
  <c r="E16"/>
  <c r="F16"/>
  <c r="G16" s="1"/>
  <c r="L16"/>
  <c r="E15"/>
  <c r="I15" s="1"/>
  <c r="W9" i="6"/>
  <c r="W8"/>
  <c r="S9"/>
  <c r="S8"/>
  <c r="O9"/>
  <c r="O8"/>
  <c r="H11" i="7"/>
  <c r="I11"/>
  <c r="K11"/>
  <c r="L11"/>
  <c r="L10"/>
  <c r="K10"/>
  <c r="I10"/>
  <c r="H10"/>
  <c r="D8" i="8"/>
  <c r="F8" s="1"/>
  <c r="E8"/>
  <c r="E7"/>
  <c r="D7"/>
  <c r="M39" i="5" l="1"/>
  <c r="M28"/>
  <c r="G30"/>
  <c r="O14" i="26"/>
  <c r="V14" s="1"/>
  <c r="N17"/>
  <c r="O17" s="1"/>
  <c r="V17" s="1"/>
  <c r="N20"/>
  <c r="O20" s="1"/>
  <c r="V20" s="1"/>
  <c r="O30"/>
  <c r="V30" s="1"/>
  <c r="N33"/>
  <c r="O33" s="1"/>
  <c r="V33" s="1"/>
  <c r="N36"/>
  <c r="O36" s="1"/>
  <c r="V36" s="1"/>
  <c r="O26"/>
  <c r="V26" s="1"/>
  <c r="O22"/>
  <c r="V22" s="1"/>
  <c r="N25"/>
  <c r="O25" s="1"/>
  <c r="V25" s="1"/>
  <c r="N28"/>
  <c r="O28" s="1"/>
  <c r="V28" s="1"/>
  <c r="J21" i="5"/>
  <c r="G21"/>
  <c r="G17"/>
  <c r="J17"/>
  <c r="G33"/>
  <c r="J33"/>
  <c r="M33" s="1"/>
  <c r="G29"/>
  <c r="J29"/>
  <c r="M29" s="1"/>
  <c r="G37"/>
  <c r="J37"/>
  <c r="M37" s="1"/>
  <c r="G25"/>
  <c r="J25"/>
  <c r="M25" s="1"/>
  <c r="M17"/>
  <c r="M27"/>
  <c r="M19"/>
  <c r="M35"/>
  <c r="M21"/>
  <c r="M16"/>
  <c r="L15"/>
  <c r="J15" l="1"/>
  <c r="M15" s="1"/>
  <c r="G15"/>
  <c r="D13" i="26" l="1"/>
  <c r="E13"/>
  <c r="F13"/>
  <c r="G13"/>
  <c r="I13"/>
  <c r="J13"/>
  <c r="K13"/>
  <c r="L13"/>
  <c r="M13"/>
  <c r="N13"/>
  <c r="Q13"/>
  <c r="R13"/>
  <c r="S13" s="1"/>
  <c r="T13" s="1"/>
  <c r="U13" s="1"/>
  <c r="R12"/>
  <c r="S12" s="1"/>
  <c r="T12" s="1"/>
  <c r="U12" s="1"/>
  <c r="Q12"/>
  <c r="G12"/>
  <c r="F12"/>
  <c r="E12"/>
  <c r="D12"/>
  <c r="J12" s="1"/>
  <c r="E10" i="1"/>
  <c r="G10" s="1"/>
  <c r="F10"/>
  <c r="H10"/>
  <c r="I10"/>
  <c r="J10"/>
  <c r="K10"/>
  <c r="L10"/>
  <c r="M10" s="1"/>
  <c r="N10"/>
  <c r="P10" s="1"/>
  <c r="O10"/>
  <c r="O9"/>
  <c r="N9"/>
  <c r="P9" s="1"/>
  <c r="M9"/>
  <c r="L9"/>
  <c r="K9"/>
  <c r="J9"/>
  <c r="I9"/>
  <c r="H9"/>
  <c r="F9"/>
  <c r="E9"/>
  <c r="G9" s="1"/>
  <c r="C10" i="3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9"/>
  <c r="B11"/>
  <c r="B12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10"/>
  <c r="L9" i="6"/>
  <c r="X9" s="1"/>
  <c r="L10"/>
  <c r="X10" s="1"/>
  <c r="L11"/>
  <c r="X11" s="1"/>
  <c r="L12"/>
  <c r="X12" s="1"/>
  <c r="L13"/>
  <c r="X13" s="1"/>
  <c r="L14"/>
  <c r="X14" s="1"/>
  <c r="L15"/>
  <c r="X15" s="1"/>
  <c r="L16"/>
  <c r="X16" s="1"/>
  <c r="L17"/>
  <c r="X17" s="1"/>
  <c r="L18"/>
  <c r="X18" s="1"/>
  <c r="L19"/>
  <c r="X19" s="1"/>
  <c r="L20"/>
  <c r="X20" s="1"/>
  <c r="L21"/>
  <c r="X21" s="1"/>
  <c r="L22"/>
  <c r="X22" s="1"/>
  <c r="L23"/>
  <c r="X23" s="1"/>
  <c r="L24"/>
  <c r="X24" s="1"/>
  <c r="L25"/>
  <c r="X25" s="1"/>
  <c r="L26"/>
  <c r="X26" s="1"/>
  <c r="L27"/>
  <c r="X27" s="1"/>
  <c r="L28"/>
  <c r="X28" s="1"/>
  <c r="L29"/>
  <c r="X29" s="1"/>
  <c r="L30"/>
  <c r="X30" s="1"/>
  <c r="L31"/>
  <c r="X31" s="1"/>
  <c r="L32"/>
  <c r="X32" s="1"/>
  <c r="L8"/>
  <c r="X8" s="1"/>
  <c r="H9"/>
  <c r="T9" s="1"/>
  <c r="H10"/>
  <c r="T10" s="1"/>
  <c r="H11"/>
  <c r="T11" s="1"/>
  <c r="H12"/>
  <c r="T12" s="1"/>
  <c r="H13"/>
  <c r="T13" s="1"/>
  <c r="H14"/>
  <c r="T14" s="1"/>
  <c r="H15"/>
  <c r="T15" s="1"/>
  <c r="H16"/>
  <c r="T16" s="1"/>
  <c r="H17"/>
  <c r="T17" s="1"/>
  <c r="H18"/>
  <c r="T18" s="1"/>
  <c r="H19"/>
  <c r="T19" s="1"/>
  <c r="H20"/>
  <c r="T20" s="1"/>
  <c r="H21"/>
  <c r="T21" s="1"/>
  <c r="H22"/>
  <c r="T22" s="1"/>
  <c r="H23"/>
  <c r="T23" s="1"/>
  <c r="H24"/>
  <c r="T24" s="1"/>
  <c r="H25"/>
  <c r="T25" s="1"/>
  <c r="H26"/>
  <c r="T26" s="1"/>
  <c r="H27"/>
  <c r="T27" s="1"/>
  <c r="H28"/>
  <c r="T28" s="1"/>
  <c r="H29"/>
  <c r="T29" s="1"/>
  <c r="H30"/>
  <c r="T30" s="1"/>
  <c r="H31"/>
  <c r="T31" s="1"/>
  <c r="H32"/>
  <c r="T32" s="1"/>
  <c r="H8"/>
  <c r="T8" s="1"/>
  <c r="D9"/>
  <c r="P9" s="1"/>
  <c r="D10"/>
  <c r="P10" s="1"/>
  <c r="D11"/>
  <c r="P11" s="1"/>
  <c r="D12"/>
  <c r="P12" s="1"/>
  <c r="D13"/>
  <c r="P13" s="1"/>
  <c r="D14"/>
  <c r="P14" s="1"/>
  <c r="D15"/>
  <c r="P15" s="1"/>
  <c r="D16"/>
  <c r="P16" s="1"/>
  <c r="D17"/>
  <c r="P17" s="1"/>
  <c r="D18"/>
  <c r="P18" s="1"/>
  <c r="D19"/>
  <c r="P19" s="1"/>
  <c r="D20"/>
  <c r="P20" s="1"/>
  <c r="D21"/>
  <c r="P21" s="1"/>
  <c r="D22"/>
  <c r="P22" s="1"/>
  <c r="D23"/>
  <c r="P23" s="1"/>
  <c r="D24"/>
  <c r="P24" s="1"/>
  <c r="D25"/>
  <c r="P25" s="1"/>
  <c r="D26"/>
  <c r="P26" s="1"/>
  <c r="D27"/>
  <c r="P27" s="1"/>
  <c r="D28"/>
  <c r="P28" s="1"/>
  <c r="D29"/>
  <c r="P29" s="1"/>
  <c r="D30"/>
  <c r="P30" s="1"/>
  <c r="D31"/>
  <c r="P31" s="1"/>
  <c r="D32"/>
  <c r="P32" s="1"/>
  <c r="D8"/>
  <c r="P8" s="1"/>
  <c r="O13" i="26" l="1"/>
  <c r="V13" s="1"/>
  <c r="I12"/>
  <c r="M12"/>
  <c r="L12"/>
  <c r="K12"/>
  <c r="N12" s="1"/>
  <c r="O12" l="1"/>
  <c r="V12" s="1"/>
</calcChain>
</file>

<file path=xl/sharedStrings.xml><?xml version="1.0" encoding="utf-8"?>
<sst xmlns="http://schemas.openxmlformats.org/spreadsheetml/2006/main" count="336" uniqueCount="194">
  <si>
    <t>C</t>
  </si>
  <si>
    <t>r</t>
  </si>
  <si>
    <t>1.</t>
  </si>
  <si>
    <t>Grupo</t>
  </si>
  <si>
    <t>Calcule el valor presente de su flujo de caja según las condiciones a)  y  b)</t>
  </si>
  <si>
    <r>
      <t xml:space="preserve">Su Grupo elabora un plan de ahorro consistente en depositar a final de cada año la cantidad </t>
    </r>
    <r>
      <rPr>
        <b/>
        <sz val="12"/>
        <rFont val="Times New Roman"/>
        <family val="1"/>
      </rPr>
      <t>C</t>
    </r>
    <r>
      <rPr>
        <sz val="12"/>
        <rFont val="Times New Roman"/>
        <family val="1"/>
      </rPr>
      <t>.</t>
    </r>
  </si>
  <si>
    <t>VALOR DEL DINERO EN EL TIEMPO  -   PROBLEMAS</t>
  </si>
  <si>
    <t>c)   En este último caso, ¿cuánto 'ganaron' sus intereses?</t>
  </si>
  <si>
    <t>b)   Si el interés se calcula de modo compuesto. ¿Cuánto tendría transcurrido el mismo tiempo?</t>
  </si>
  <si>
    <r>
      <t xml:space="preserve">Vd. deposita en su cuenta de ahorros la cantidad </t>
    </r>
    <r>
      <rPr>
        <b/>
        <sz val="12"/>
        <rFont val="Times New Roman"/>
        <family val="1"/>
      </rPr>
      <t>C</t>
    </r>
    <r>
      <rPr>
        <sz val="12"/>
        <rFont val="Times New Roman"/>
        <family val="1"/>
      </rPr>
      <t xml:space="preserve"> en el banco a principios de cada año.</t>
    </r>
  </si>
  <si>
    <t>3.</t>
  </si>
  <si>
    <t>2.</t>
  </si>
  <si>
    <t>¿Cuánto debería depositar al final de cada año en el banco?</t>
  </si>
  <si>
    <t>Q</t>
  </si>
  <si>
    <t>4.</t>
  </si>
  <si>
    <t>A</t>
  </si>
  <si>
    <t>P</t>
  </si>
  <si>
    <t>c) ¿Cómo explica los casos en que las respuestas  a)  y  b)  son diferentes?</t>
  </si>
  <si>
    <t>5.</t>
  </si>
  <si>
    <t>VP(flujo)</t>
  </si>
  <si>
    <t>6.</t>
  </si>
  <si>
    <t>(Los cálculos deben hacerse en meses, usando todos los decimales posibles)</t>
  </si>
  <si>
    <t>a)   ¿Cuánto habrá ahorrado al finalizar el primer año?</t>
  </si>
  <si>
    <t xml:space="preserve">c)   ¿Cuánto tiempo tardará en cuadriplicar el ahorro del primer año?    </t>
  </si>
  <si>
    <t>b)   ¿Cuánto tiempo tardará en duplicar el ahorro del primer año?</t>
  </si>
  <si>
    <t>7.</t>
  </si>
  <si>
    <t>8.</t>
  </si>
  <si>
    <t>Si el contrato fuese a perpetuidad, ¿qué tasa de interés está aplicando el banco?</t>
  </si>
  <si>
    <r>
      <t xml:space="preserve">El banco le pagará anualmente hasta la eternidad la cantidad </t>
    </r>
    <r>
      <rPr>
        <b/>
        <sz val="12"/>
        <rFont val="Times New Roman"/>
        <family val="1"/>
      </rPr>
      <t>A</t>
    </r>
    <r>
      <rPr>
        <sz val="12"/>
        <rFont val="Times New Roman"/>
        <family val="1"/>
      </rPr>
      <t xml:space="preserve"> si hoy deposita </t>
    </r>
    <r>
      <rPr>
        <b/>
        <sz val="12"/>
        <rFont val="Times New Roman"/>
        <family val="1"/>
      </rPr>
      <t>C</t>
    </r>
    <r>
      <rPr>
        <sz val="12"/>
        <rFont val="Times New Roman"/>
        <family val="1"/>
      </rPr>
      <t xml:space="preserve">. </t>
    </r>
  </si>
  <si>
    <t>9.</t>
  </si>
  <si>
    <t>El banco publicita la siguiente oferta:</t>
  </si>
  <si>
    <t>¿Cuál es la TIR de esta oferta?</t>
  </si>
  <si>
    <t>10.</t>
  </si>
  <si>
    <r>
      <t xml:space="preserve">¿Cómo explica que el </t>
    </r>
    <r>
      <rPr>
        <b/>
        <sz val="12"/>
        <rFont val="Times New Roman"/>
        <family val="1"/>
      </rPr>
      <t>VPN</t>
    </r>
    <r>
      <rPr>
        <sz val="12"/>
        <rFont val="Times New Roman"/>
        <family val="1"/>
      </rPr>
      <t xml:space="preserve"> sea negativo, aunque la utilidad del proyecto es positiva? </t>
    </r>
  </si>
  <si>
    <t>Años</t>
  </si>
  <si>
    <r>
      <t xml:space="preserve">Recibir la cantidad </t>
    </r>
    <r>
      <rPr>
        <b/>
        <i/>
        <sz val="12"/>
        <rFont val="Times New Roman"/>
        <family val="1"/>
      </rPr>
      <t>P</t>
    </r>
    <r>
      <rPr>
        <sz val="12"/>
        <rFont val="Times New Roman"/>
        <family val="1"/>
      </rPr>
      <t xml:space="preserve"> durante 10 años o la cantidad </t>
    </r>
    <r>
      <rPr>
        <b/>
        <sz val="12"/>
        <rFont val="Times New Roman"/>
        <family val="1"/>
      </rPr>
      <t>Q</t>
    </r>
    <r>
      <rPr>
        <sz val="12"/>
        <rFont val="Times New Roman"/>
        <family val="1"/>
      </rPr>
      <t xml:space="preserve"> durante 15 años si:</t>
    </r>
  </si>
  <si>
    <r>
      <t>PC</t>
    </r>
    <r>
      <rPr>
        <b/>
        <vertAlign val="subscript"/>
        <sz val="12"/>
        <rFont val="Times New Roman"/>
        <family val="1"/>
      </rPr>
      <t>0</t>
    </r>
  </si>
  <si>
    <r>
      <t>PV</t>
    </r>
    <r>
      <rPr>
        <b/>
        <vertAlign val="subscript"/>
        <sz val="12"/>
        <rFont val="Times New Roman"/>
        <family val="1"/>
      </rPr>
      <t>5</t>
    </r>
  </si>
  <si>
    <t>11.</t>
  </si>
  <si>
    <r>
      <t xml:space="preserve">Una propiedad genera una renta anual perpetua </t>
    </r>
    <r>
      <rPr>
        <b/>
        <i/>
        <sz val="12"/>
        <rFont val="Times New Roman"/>
        <family val="1"/>
      </rPr>
      <t>Q</t>
    </r>
    <r>
      <rPr>
        <sz val="12"/>
        <rFont val="Times New Roman"/>
        <family val="1"/>
      </rPr>
      <t>. Si su precio</t>
    </r>
  </si>
  <si>
    <r>
      <t xml:space="preserve">hoy día es de </t>
    </r>
    <r>
      <rPr>
        <b/>
        <i/>
        <sz val="12"/>
        <rFont val="Times New Roman"/>
        <family val="1"/>
      </rPr>
      <t>P</t>
    </r>
    <r>
      <rPr>
        <sz val="12"/>
        <rFont val="Times New Roman"/>
        <family val="1"/>
      </rPr>
      <t>, ¿cuál es el costo de oportunidad del capital?</t>
    </r>
  </si>
  <si>
    <t>12.</t>
  </si>
  <si>
    <r>
      <t xml:space="preserve">capital es </t>
    </r>
    <r>
      <rPr>
        <b/>
        <i/>
        <sz val="12"/>
        <rFont val="Times New Roman"/>
        <family val="1"/>
      </rPr>
      <t>COC 1</t>
    </r>
    <r>
      <rPr>
        <sz val="12"/>
        <rFont val="Times New Roman"/>
        <family val="1"/>
      </rPr>
      <t xml:space="preserve">? ¿Qué pasa si el costo de oportunidad del capital es </t>
    </r>
    <r>
      <rPr>
        <b/>
        <i/>
        <sz val="12"/>
        <rFont val="Times New Roman"/>
        <family val="1"/>
      </rPr>
      <t>COC 2</t>
    </r>
    <r>
      <rPr>
        <sz val="12"/>
        <rFont val="Times New Roman"/>
        <family val="1"/>
      </rPr>
      <t>?</t>
    </r>
  </si>
  <si>
    <t>I</t>
  </si>
  <si>
    <t>COC 1</t>
  </si>
  <si>
    <t>COC 2</t>
  </si>
  <si>
    <t>PV</t>
  </si>
  <si>
    <t xml:space="preserve">Se pide el resultado con 4 decimales. </t>
  </si>
  <si>
    <t>Nota: valores en pesos, tasas de interés con 4 decimales.</t>
  </si>
  <si>
    <t xml:space="preserve"> ¡Deposite $ 100.000 al año durante 10 años y después el banco le pagará $ 100.000 para siempre! </t>
  </si>
  <si>
    <t>Nota: valores en pesos (sin decimales)</t>
  </si>
  <si>
    <r>
      <t>r</t>
    </r>
    <r>
      <rPr>
        <b/>
        <i/>
        <vertAlign val="subscript"/>
        <sz val="12"/>
        <rFont val="Times New Roman"/>
        <family val="1"/>
      </rPr>
      <t>1</t>
    </r>
  </si>
  <si>
    <r>
      <t>r</t>
    </r>
    <r>
      <rPr>
        <b/>
        <i/>
        <vertAlign val="subscript"/>
        <sz val="12"/>
        <rFont val="Times New Roman"/>
        <family val="1"/>
      </rPr>
      <t>2</t>
    </r>
  </si>
  <si>
    <t>Nota: resultados finales en pesos (sin decimales)</t>
  </si>
  <si>
    <t xml:space="preserve">¿Qué prefiere Vd? </t>
  </si>
  <si>
    <r>
      <t xml:space="preserve">a) La tasa de interés es </t>
    </r>
    <r>
      <rPr>
        <b/>
        <i/>
        <sz val="12"/>
        <rFont val="Times New Roman"/>
        <family val="1"/>
      </rPr>
      <t>r</t>
    </r>
    <r>
      <rPr>
        <b/>
        <i/>
        <vertAlign val="subscript"/>
        <sz val="12"/>
        <rFont val="Times New Roman"/>
        <family val="1"/>
      </rPr>
      <t>1</t>
    </r>
    <r>
      <rPr>
        <sz val="12"/>
        <rFont val="Times New Roman"/>
        <family val="1"/>
      </rPr>
      <t>;</t>
    </r>
  </si>
  <si>
    <r>
      <t>r</t>
    </r>
    <r>
      <rPr>
        <b/>
        <i/>
        <vertAlign val="subscript"/>
        <sz val="12"/>
        <rFont val="Times New Roman"/>
        <family val="1"/>
      </rPr>
      <t>2</t>
    </r>
    <r>
      <rPr>
        <sz val="11"/>
        <color theme="1"/>
        <rFont val="Calibri"/>
        <family val="2"/>
        <scheme val="minor"/>
      </rPr>
      <t/>
    </r>
  </si>
  <si>
    <r>
      <t>b) La tasa de interés es</t>
    </r>
    <r>
      <rPr>
        <b/>
        <i/>
        <sz val="12"/>
        <rFont val="Times New Roman"/>
        <family val="1"/>
      </rPr>
      <t xml:space="preserve"> r</t>
    </r>
    <r>
      <rPr>
        <b/>
        <i/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;</t>
    </r>
  </si>
  <si>
    <t>Caso 3</t>
  </si>
  <si>
    <t>Caso 2</t>
  </si>
  <si>
    <t>Caso 1</t>
  </si>
  <si>
    <r>
      <t xml:space="preserve">La tasa de interés anual del sistema económico es </t>
    </r>
    <r>
      <rPr>
        <b/>
        <i/>
        <sz val="12"/>
        <rFont val="Times New Roman"/>
        <family val="1"/>
      </rPr>
      <t>r</t>
    </r>
    <r>
      <rPr>
        <sz val="12"/>
        <rFont val="Times New Roman"/>
        <family val="1"/>
      </rPr>
      <t xml:space="preserve"> y se aplica mensualmente.</t>
    </r>
  </si>
  <si>
    <r>
      <t xml:space="preserve">Su Grupo ahorra mensualmente la cantidad </t>
    </r>
    <r>
      <rPr>
        <b/>
        <sz val="12"/>
        <rFont val="Times New Roman"/>
        <family val="1"/>
      </rPr>
      <t>Q</t>
    </r>
    <r>
      <rPr>
        <sz val="12"/>
        <rFont val="Times New Roman"/>
        <family val="1"/>
      </rPr>
      <t>.</t>
    </r>
  </si>
  <si>
    <r>
      <t xml:space="preserve">¿Qué tasa de interés tienen los siguientes flujos de ingresos anuales </t>
    </r>
    <r>
      <rPr>
        <b/>
        <sz val="12"/>
        <rFont val="Times New Roman"/>
        <family val="1"/>
      </rPr>
      <t>C</t>
    </r>
    <r>
      <rPr>
        <sz val="12"/>
        <rFont val="Times New Roman"/>
        <family val="1"/>
      </rPr>
      <t xml:space="preserve"> si su valor presente es</t>
    </r>
    <r>
      <rPr>
        <b/>
        <sz val="12"/>
        <rFont val="Times New Roman"/>
        <family val="1"/>
      </rPr>
      <t xml:space="preserve"> VP(flujo)</t>
    </r>
    <r>
      <rPr>
        <sz val="12"/>
        <rFont val="Times New Roman"/>
        <family val="1"/>
      </rPr>
      <t xml:space="preserve"> en cada uno de los 3 casos?</t>
    </r>
  </si>
  <si>
    <r>
      <t xml:space="preserve">Vd. compra hoy una propiedad en </t>
    </r>
    <r>
      <rPr>
        <b/>
        <sz val="12"/>
        <rFont val="Times New Roman"/>
        <family val="1"/>
      </rPr>
      <t>PC</t>
    </r>
    <r>
      <rPr>
        <b/>
        <vertAlign val="subscript"/>
        <sz val="12"/>
        <rFont val="Times New Roman"/>
        <family val="1"/>
      </rPr>
      <t>0</t>
    </r>
    <r>
      <rPr>
        <sz val="12"/>
        <rFont val="Times New Roman"/>
        <family val="1"/>
      </rPr>
      <t xml:space="preserve"> y la vende dentro de 5 años en </t>
    </r>
    <r>
      <rPr>
        <b/>
        <sz val="12"/>
        <rFont val="Times New Roman"/>
        <family val="1"/>
      </rPr>
      <t>PV</t>
    </r>
    <r>
      <rPr>
        <b/>
        <vertAlign val="subscript"/>
        <sz val="12"/>
        <rFont val="Times New Roman"/>
        <family val="1"/>
      </rPr>
      <t xml:space="preserve">5 </t>
    </r>
    <r>
      <rPr>
        <sz val="12"/>
        <rFont val="Times New Roman"/>
        <family val="1"/>
      </rPr>
      <t>y no recibe renta de la propiedad.</t>
    </r>
  </si>
  <si>
    <t>¿Qué pasa si recibiera una renta anual por la propiedad de $ 2.000000?</t>
  </si>
  <si>
    <r>
      <t xml:space="preserve">dentro de 8 años en </t>
    </r>
    <r>
      <rPr>
        <b/>
        <i/>
        <sz val="12"/>
        <rFont val="Times New Roman"/>
        <family val="1"/>
      </rPr>
      <t>PV</t>
    </r>
    <r>
      <rPr>
        <sz val="12"/>
        <rFont val="Times New Roman"/>
        <family val="1"/>
      </rPr>
      <t>. ¿Es un proyecto bueno si el costo de oportunidad del</t>
    </r>
  </si>
  <si>
    <t>Para fundamentar sus respuestas, cálcule a lo menos el VPN y la TIR en cada caso.</t>
  </si>
  <si>
    <r>
      <t xml:space="preserve">Si la tasa de interés del sistema económico imperante es </t>
    </r>
    <r>
      <rPr>
        <b/>
        <i/>
        <sz val="12"/>
        <rFont val="Times New Roman"/>
        <family val="1"/>
      </rPr>
      <t>r</t>
    </r>
    <r>
      <rPr>
        <sz val="12"/>
        <rFont val="Times New Roman"/>
        <family val="1"/>
      </rPr>
      <t xml:space="preserve">, ¿Cuál es el </t>
    </r>
    <r>
      <rPr>
        <b/>
        <sz val="12"/>
        <rFont val="Times New Roman"/>
        <family val="1"/>
      </rPr>
      <t>VPN</t>
    </r>
    <r>
      <rPr>
        <sz val="12"/>
        <rFont val="Times New Roman"/>
        <family val="1"/>
      </rPr>
      <t xml:space="preserve"> del proyecto?</t>
    </r>
  </si>
  <si>
    <r>
      <t xml:space="preserve">Para realizar un proyecto Vd debe invertir hoy  </t>
    </r>
    <r>
      <rPr>
        <b/>
        <i/>
        <sz val="12"/>
        <rFont val="Times New Roman"/>
        <family val="1"/>
      </rPr>
      <t xml:space="preserve">I. Por otra parte </t>
    </r>
    <r>
      <rPr>
        <sz val="12"/>
        <rFont val="Times New Roman"/>
        <family val="1"/>
      </rPr>
      <t>estima que lo podrá vender</t>
    </r>
  </si>
  <si>
    <r>
      <t>r</t>
    </r>
    <r>
      <rPr>
        <b/>
        <i/>
        <vertAlign val="subscript"/>
        <sz val="12"/>
        <rFont val="Times New Roman"/>
        <family val="1"/>
      </rPr>
      <t>anual</t>
    </r>
  </si>
  <si>
    <t>d)  ¿Se demora el doble en cuadriplicarse que en duplicarse? ¡Explique su respuesta!</t>
  </si>
  <si>
    <r>
      <t>r</t>
    </r>
    <r>
      <rPr>
        <sz val="11"/>
        <color theme="1"/>
        <rFont val="Calibri"/>
        <family val="2"/>
        <scheme val="minor"/>
      </rPr>
      <t/>
    </r>
  </si>
  <si>
    <r>
      <t xml:space="preserve">a)   Si la tasa de interés simple es </t>
    </r>
    <r>
      <rPr>
        <b/>
        <i/>
        <sz val="12"/>
        <rFont val="Times New Roman"/>
        <family val="1"/>
      </rPr>
      <t>r</t>
    </r>
    <r>
      <rPr>
        <sz val="12"/>
        <rFont val="Times New Roman"/>
        <family val="1"/>
      </rPr>
      <t>. ¿Cuánto tendrá al final de 4 años?</t>
    </r>
  </si>
  <si>
    <r>
      <t xml:space="preserve">Vd necesitará una cantidad </t>
    </r>
    <r>
      <rPr>
        <b/>
        <sz val="12"/>
        <rFont val="Times New Roman"/>
        <family val="1"/>
      </rPr>
      <t>Q</t>
    </r>
    <r>
      <rPr>
        <sz val="12"/>
        <rFont val="Times New Roman"/>
        <family val="1"/>
      </rPr>
      <t xml:space="preserve"> dentro de 6 años. Si la tasa de interés es</t>
    </r>
    <r>
      <rPr>
        <b/>
        <i/>
        <sz val="12"/>
        <rFont val="Times New Roman"/>
        <family val="1"/>
      </rPr>
      <t xml:space="preserve"> r</t>
    </r>
    <r>
      <rPr>
        <sz val="12"/>
        <rFont val="Times New Roman"/>
        <family val="1"/>
      </rPr>
      <t>.</t>
    </r>
  </si>
  <si>
    <t>PROBLEMA</t>
  </si>
  <si>
    <t>VF(a)</t>
  </si>
  <si>
    <t>VF(b)</t>
  </si>
  <si>
    <t>Ganancia de intereses</t>
  </si>
  <si>
    <t xml:space="preserve">     La regla para expresar las tasas de intereses es según el formato definido en clases: tanto por uno (NO tanto por ciento).</t>
  </si>
  <si>
    <t>Cuota</t>
  </si>
  <si>
    <t>a)</t>
  </si>
  <si>
    <t>b)</t>
  </si>
  <si>
    <t>c)</t>
  </si>
  <si>
    <t>d)</t>
  </si>
  <si>
    <t xml:space="preserve">     Lo mismo se exige para las explicaciones de los problemas.</t>
  </si>
  <si>
    <r>
      <t xml:space="preserve">de los próximos años un quinto de esa cantidad. Otro futbolista </t>
    </r>
    <r>
      <rPr>
        <b/>
        <sz val="12"/>
        <rFont val="Times New Roman"/>
        <family val="1"/>
      </rPr>
      <t>B</t>
    </r>
    <r>
      <rPr>
        <sz val="12"/>
        <rFont val="Times New Roman"/>
        <family val="1"/>
      </rPr>
      <t xml:space="preserve"> también firmó por 5 años, pero cada año recibirá 1 millón de dólares</t>
    </r>
  </si>
  <si>
    <t>menos que el primero, con la diferencia que al firmar hoy recibió 4 millones de dólares al contado.</t>
  </si>
  <si>
    <t xml:space="preserve">VP(A) </t>
  </si>
  <si>
    <t>VP(B)</t>
  </si>
  <si>
    <t>Notas explicativas:</t>
  </si>
  <si>
    <r>
      <t xml:space="preserve">Si la tasa de interés es </t>
    </r>
    <r>
      <rPr>
        <b/>
        <i/>
        <sz val="12"/>
        <rFont val="Times New Roman"/>
        <family val="1"/>
      </rPr>
      <t>r</t>
    </r>
    <r>
      <rPr>
        <sz val="12"/>
        <rFont val="Times New Roman"/>
        <family val="1"/>
      </rPr>
      <t>, ¿cuál es el valor presente del sueldo de cada uno de los futbolistas?</t>
    </r>
  </si>
  <si>
    <r>
      <t xml:space="preserve">¿Prefiere Vd el sueldo del futbolista </t>
    </r>
    <r>
      <rPr>
        <b/>
        <sz val="12"/>
        <rFont val="Times New Roman"/>
        <family val="1"/>
      </rPr>
      <t>A</t>
    </r>
    <r>
      <rPr>
        <sz val="12"/>
        <rFont val="Times New Roman"/>
        <family val="1"/>
      </rPr>
      <t xml:space="preserve"> ó </t>
    </r>
    <r>
      <rPr>
        <b/>
        <sz val="12"/>
        <rFont val="Times New Roman"/>
        <family val="1"/>
      </rPr>
      <t>B</t>
    </r>
    <r>
      <rPr>
        <sz val="12"/>
        <rFont val="Times New Roman"/>
        <family val="1"/>
      </rPr>
      <t>?</t>
    </r>
  </si>
  <si>
    <t>Tasa de interés</t>
  </si>
  <si>
    <t>TIR</t>
  </si>
  <si>
    <r>
      <t>¿Es buena la oferta si la tasa de interés del banco es</t>
    </r>
    <r>
      <rPr>
        <b/>
        <i/>
        <sz val="12"/>
        <rFont val="Times New Roman"/>
        <family val="1"/>
      </rPr>
      <t xml:space="preserve"> r</t>
    </r>
    <r>
      <rPr>
        <sz val="12"/>
        <rFont val="Times New Roman"/>
        <family val="1"/>
      </rPr>
      <t xml:space="preserve"> ? ¿Por qué?</t>
    </r>
  </si>
  <si>
    <t>¿Cuál sería su gancia en caso de aceptar la oferta del banco?</t>
  </si>
  <si>
    <t>VPN(COC1)</t>
  </si>
  <si>
    <t>VPN(COC2)</t>
  </si>
  <si>
    <t xml:space="preserve">TIR  </t>
  </si>
  <si>
    <t>TAREA FINANZAS 2014 - Semestre Primavera</t>
  </si>
  <si>
    <t xml:space="preserve">PROBLEMAS 1 - 12 </t>
  </si>
  <si>
    <t>1.   Las soluciones a los Problemas sólo se aceptan en los casilleros enmarcados con negrita.</t>
  </si>
  <si>
    <t>2.  Los razonamientos utilizados para llegar a la solución y la discusión crítica de los problemas debe ir en la página respectiva. No en esta.</t>
  </si>
  <si>
    <r>
      <t>a) Ahorro con tasa de interés</t>
    </r>
    <r>
      <rPr>
        <b/>
        <i/>
        <sz val="12"/>
        <rFont val="Times New Roman"/>
        <family val="1"/>
      </rPr>
      <t xml:space="preserve"> r</t>
    </r>
    <r>
      <rPr>
        <b/>
        <i/>
        <vertAlign val="sub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con depósitos durante 10 y 20 años, respectivamente;</t>
    </r>
  </si>
  <si>
    <r>
      <t xml:space="preserve">b) Depósitos durante 4 y 16 años, respectivamente, con una tasa de interés bancario </t>
    </r>
    <r>
      <rPr>
        <b/>
        <i/>
        <sz val="12"/>
        <rFont val="Times New Roman"/>
        <family val="1"/>
      </rPr>
      <t>r</t>
    </r>
    <r>
      <rPr>
        <b/>
        <i/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.</t>
    </r>
  </si>
  <si>
    <r>
      <t xml:space="preserve">El futbolista </t>
    </r>
    <r>
      <rPr>
        <b/>
        <sz val="12"/>
        <rFont val="Times New Roman"/>
        <family val="1"/>
      </rPr>
      <t>A</t>
    </r>
    <r>
      <rPr>
        <sz val="12"/>
        <rFont val="Times New Roman"/>
        <family val="1"/>
      </rPr>
      <t xml:space="preserve"> firmó un contrato por 5 años por la cantidad </t>
    </r>
    <r>
      <rPr>
        <b/>
        <sz val="12"/>
        <rFont val="Times New Roman"/>
        <family val="1"/>
      </rPr>
      <t>C</t>
    </r>
    <r>
      <rPr>
        <sz val="12"/>
        <rFont val="Times New Roman"/>
        <family val="1"/>
      </rPr>
      <t>, de modo que recibirá al final de cada uno</t>
    </r>
  </si>
  <si>
    <t>Problemas 1 - 6</t>
  </si>
  <si>
    <t>4.   Plazo de entrega a través de U-Cursos:</t>
  </si>
  <si>
    <t xml:space="preserve">   Domingo 24 de agosto a las 23:59 horas</t>
  </si>
  <si>
    <t>Problemas 7 - 12</t>
  </si>
  <si>
    <t xml:space="preserve">   Domingo 7 de septiembre a las 23:59 horas</t>
  </si>
  <si>
    <r>
      <t>VP(</t>
    </r>
    <r>
      <rPr>
        <b/>
        <i/>
        <sz val="12"/>
        <rFont val="Times New Roman"/>
        <family val="1"/>
      </rPr>
      <t>r</t>
    </r>
    <r>
      <rPr>
        <b/>
        <i/>
        <vertAlign val="subscript"/>
        <sz val="12"/>
        <rFont val="Times New Roman"/>
        <family val="1"/>
      </rPr>
      <t>1</t>
    </r>
    <r>
      <rPr>
        <b/>
        <i/>
        <sz val="12"/>
        <rFont val="Times New Roman"/>
        <family val="1"/>
      </rPr>
      <t xml:space="preserve">, </t>
    </r>
    <r>
      <rPr>
        <i/>
        <sz val="12"/>
        <rFont val="Times New Roman"/>
        <family val="1"/>
      </rPr>
      <t>10</t>
    </r>
    <r>
      <rPr>
        <sz val="12"/>
        <rFont val="Times New Roman"/>
        <family val="1"/>
      </rPr>
      <t>)</t>
    </r>
  </si>
  <si>
    <r>
      <t>VP(</t>
    </r>
    <r>
      <rPr>
        <b/>
        <i/>
        <sz val="12"/>
        <rFont val="Times New Roman"/>
        <family val="1"/>
      </rPr>
      <t>r</t>
    </r>
    <r>
      <rPr>
        <b/>
        <i/>
        <vertAlign val="subscript"/>
        <sz val="12"/>
        <rFont val="Times New Roman"/>
        <family val="1"/>
      </rPr>
      <t>1</t>
    </r>
    <r>
      <rPr>
        <b/>
        <i/>
        <sz val="12"/>
        <rFont val="Times New Roman"/>
        <family val="1"/>
      </rPr>
      <t xml:space="preserve">, </t>
    </r>
    <r>
      <rPr>
        <i/>
        <sz val="12"/>
        <rFont val="Times New Roman"/>
        <family val="1"/>
      </rPr>
      <t>20</t>
    </r>
    <r>
      <rPr>
        <sz val="12"/>
        <rFont val="Times New Roman"/>
        <family val="1"/>
      </rPr>
      <t>)</t>
    </r>
  </si>
  <si>
    <r>
      <t>VP(</t>
    </r>
    <r>
      <rPr>
        <b/>
        <i/>
        <sz val="12"/>
        <rFont val="Times New Roman"/>
        <family val="1"/>
      </rPr>
      <t>r</t>
    </r>
    <r>
      <rPr>
        <b/>
        <i/>
        <vertAlign val="subscript"/>
        <sz val="12"/>
        <rFont val="Times New Roman"/>
        <family val="1"/>
      </rPr>
      <t>2</t>
    </r>
    <r>
      <rPr>
        <b/>
        <i/>
        <sz val="12"/>
        <rFont val="Times New Roman"/>
        <family val="1"/>
      </rPr>
      <t xml:space="preserve">, </t>
    </r>
    <r>
      <rPr>
        <i/>
        <sz val="12"/>
        <rFont val="Times New Roman"/>
        <family val="1"/>
      </rPr>
      <t>4</t>
    </r>
    <r>
      <rPr>
        <sz val="12"/>
        <rFont val="Times New Roman"/>
        <family val="1"/>
      </rPr>
      <t>)</t>
    </r>
  </si>
  <si>
    <r>
      <t>VP(</t>
    </r>
    <r>
      <rPr>
        <b/>
        <i/>
        <sz val="12"/>
        <rFont val="Times New Roman"/>
        <family val="1"/>
      </rPr>
      <t>r</t>
    </r>
    <r>
      <rPr>
        <b/>
        <i/>
        <vertAlign val="subscript"/>
        <sz val="12"/>
        <rFont val="Times New Roman"/>
        <family val="1"/>
      </rPr>
      <t>2</t>
    </r>
    <r>
      <rPr>
        <b/>
        <i/>
        <sz val="12"/>
        <rFont val="Times New Roman"/>
        <family val="1"/>
      </rPr>
      <t xml:space="preserve">, </t>
    </r>
    <r>
      <rPr>
        <i/>
        <sz val="12"/>
        <rFont val="Times New Roman"/>
        <family val="1"/>
      </rPr>
      <t>16</t>
    </r>
    <r>
      <rPr>
        <sz val="12"/>
        <rFont val="Times New Roman"/>
        <family val="1"/>
      </rPr>
      <t>)</t>
    </r>
  </si>
  <si>
    <t>C/r</t>
  </si>
  <si>
    <r>
      <t>1-1/(1+r)</t>
    </r>
    <r>
      <rPr>
        <vertAlign val="superscript"/>
        <sz val="12"/>
        <rFont val="Times New Roman"/>
        <family val="1"/>
      </rPr>
      <t>10</t>
    </r>
  </si>
  <si>
    <r>
      <t>VP(r</t>
    </r>
    <r>
      <rPr>
        <b/>
        <i/>
        <vertAlign val="subscript"/>
        <sz val="12"/>
        <rFont val="Times New Roman"/>
        <family val="1"/>
      </rPr>
      <t>1</t>
    </r>
    <r>
      <rPr>
        <b/>
        <i/>
        <sz val="12"/>
        <rFont val="Times New Roman"/>
        <family val="1"/>
      </rPr>
      <t>;10)</t>
    </r>
  </si>
  <si>
    <r>
      <t>1-1/(1+r)</t>
    </r>
    <r>
      <rPr>
        <vertAlign val="superscript"/>
        <sz val="12"/>
        <rFont val="Times New Roman"/>
        <family val="1"/>
      </rPr>
      <t>20</t>
    </r>
  </si>
  <si>
    <r>
      <t>VP(r</t>
    </r>
    <r>
      <rPr>
        <b/>
        <i/>
        <vertAlign val="subscript"/>
        <sz val="12"/>
        <rFont val="Times New Roman"/>
        <family val="1"/>
      </rPr>
      <t>1</t>
    </r>
    <r>
      <rPr>
        <b/>
        <i/>
        <sz val="12"/>
        <rFont val="Times New Roman"/>
        <family val="1"/>
      </rPr>
      <t>;20)</t>
    </r>
  </si>
  <si>
    <r>
      <t>1-1/(1+r)</t>
    </r>
    <r>
      <rPr>
        <vertAlign val="superscript"/>
        <sz val="12"/>
        <rFont val="Times New Roman"/>
        <family val="1"/>
      </rPr>
      <t>4</t>
    </r>
  </si>
  <si>
    <r>
      <t>VP(r</t>
    </r>
    <r>
      <rPr>
        <b/>
        <i/>
        <vertAlign val="subscript"/>
        <sz val="12"/>
        <rFont val="Times New Roman"/>
        <family val="1"/>
      </rPr>
      <t>2</t>
    </r>
    <r>
      <rPr>
        <b/>
        <i/>
        <sz val="12"/>
        <rFont val="Times New Roman"/>
        <family val="1"/>
      </rPr>
      <t>;4)</t>
    </r>
  </si>
  <si>
    <r>
      <t>1-1/(1+r)</t>
    </r>
    <r>
      <rPr>
        <vertAlign val="superscript"/>
        <sz val="12"/>
        <rFont val="Times New Roman"/>
        <family val="1"/>
      </rPr>
      <t>16</t>
    </r>
  </si>
  <si>
    <r>
      <t>VP(r</t>
    </r>
    <r>
      <rPr>
        <b/>
        <i/>
        <vertAlign val="subscript"/>
        <sz val="12"/>
        <rFont val="Times New Roman"/>
        <family val="1"/>
      </rPr>
      <t>2</t>
    </r>
    <r>
      <rPr>
        <b/>
        <i/>
        <sz val="12"/>
        <rFont val="Times New Roman"/>
        <family val="1"/>
      </rPr>
      <t>;16)</t>
    </r>
  </si>
  <si>
    <t xml:space="preserve">CALCULO SOBRE EL SUPUESTO DE INTERES SIMPLE </t>
  </si>
  <si>
    <t>CALCULO SOBRE EL SUPUESTO DE INTERES COMPUESTO</t>
  </si>
  <si>
    <t>depósito</t>
  </si>
  <si>
    <t xml:space="preserve">SUMA </t>
  </si>
  <si>
    <t>interés</t>
  </si>
  <si>
    <t xml:space="preserve">Suma </t>
  </si>
  <si>
    <t>TOTAL</t>
  </si>
  <si>
    <t>B</t>
  </si>
  <si>
    <t>A * B</t>
  </si>
  <si>
    <t>VP (0)</t>
  </si>
  <si>
    <t>VF(4)</t>
  </si>
  <si>
    <t>"ganancia"</t>
  </si>
  <si>
    <t>inicio año 1</t>
  </si>
  <si>
    <t>inicio año 2</t>
  </si>
  <si>
    <t>inicio año 3</t>
  </si>
  <si>
    <t>inicio año 4</t>
  </si>
  <si>
    <t>fin año 4</t>
  </si>
  <si>
    <t>depósitos</t>
  </si>
  <si>
    <t>fin año 1</t>
  </si>
  <si>
    <t>fin año 2</t>
  </si>
  <si>
    <t>fin año 3</t>
  </si>
  <si>
    <t>intereses</t>
  </si>
  <si>
    <r>
      <t>(1-1/(1+r)</t>
    </r>
    <r>
      <rPr>
        <vertAlign val="superscript"/>
        <sz val="10"/>
        <rFont val="Times New Roman"/>
        <family val="1"/>
      </rPr>
      <t>n</t>
    </r>
  </si>
  <si>
    <t>int comp</t>
  </si>
  <si>
    <t>VP</t>
  </si>
  <si>
    <t>1-1/potencia(1+r;n)</t>
  </si>
  <si>
    <r>
      <t>Si r</t>
    </r>
    <r>
      <rPr>
        <b/>
        <i/>
        <vertAlign val="subscript"/>
        <sz val="14"/>
        <rFont val="Times New Roman"/>
        <family val="1"/>
      </rPr>
      <t>1</t>
    </r>
  </si>
  <si>
    <r>
      <t>Si r</t>
    </r>
    <r>
      <rPr>
        <b/>
        <i/>
        <vertAlign val="subscript"/>
        <sz val="14"/>
        <rFont val="Times New Roman"/>
        <family val="1"/>
      </rPr>
      <t>2</t>
    </r>
  </si>
  <si>
    <t>VP(P; 10; r1)</t>
  </si>
  <si>
    <t>VP(Q; 15; r1)</t>
  </si>
  <si>
    <t>prefiero</t>
  </si>
  <si>
    <t>VP(P; 10; r2)</t>
  </si>
  <si>
    <t>VP(Q; 15; r2)</t>
  </si>
  <si>
    <t>Estimación</t>
  </si>
  <si>
    <t xml:space="preserve">Diferencia </t>
  </si>
  <si>
    <t>con VP</t>
  </si>
  <si>
    <t>verdadero</t>
  </si>
  <si>
    <r>
      <t>de</t>
    </r>
    <r>
      <rPr>
        <b/>
        <i/>
        <sz val="10"/>
        <rFont val="Times New Roman"/>
        <family val="1"/>
      </rPr>
      <t xml:space="preserve"> r</t>
    </r>
  </si>
  <si>
    <t>Para</t>
  </si>
  <si>
    <t>duplicar</t>
  </si>
  <si>
    <t xml:space="preserve">doble </t>
  </si>
  <si>
    <t>número</t>
  </si>
  <si>
    <t>VP(meses)</t>
  </si>
  <si>
    <t>cuatro</t>
  </si>
  <si>
    <r>
      <t>r</t>
    </r>
    <r>
      <rPr>
        <b/>
        <i/>
        <vertAlign val="subscript"/>
        <sz val="12"/>
        <rFont val="Times New Roman"/>
        <family val="1"/>
      </rPr>
      <t>mensual</t>
    </r>
  </si>
  <si>
    <t>VP (1 año)</t>
  </si>
  <si>
    <t>meses</t>
  </si>
  <si>
    <t>( ≥ doble)</t>
  </si>
  <si>
    <t>veces</t>
  </si>
  <si>
    <t>( ≥ 4 veces)</t>
  </si>
  <si>
    <t>Exceso</t>
  </si>
  <si>
    <t>3.  Los formatos de los números debe ser de acuerdo al enunciado del problema. Lo mismo ocurre con el redondeo y el número de decimales.</t>
  </si>
  <si>
    <t>Alumno No</t>
  </si>
  <si>
    <t>PLANILLA DE SOLUCIONES</t>
  </si>
  <si>
    <t>Nombre:</t>
  </si>
  <si>
    <t>a)  VP(P)</t>
  </si>
  <si>
    <t>a)  VP(Q)</t>
  </si>
  <si>
    <t>a) Preferencia</t>
  </si>
  <si>
    <t>b)  VP(P)</t>
  </si>
  <si>
    <t>b)  VP(Q)</t>
  </si>
  <si>
    <t>b) Preferencia</t>
  </si>
  <si>
    <t>Puntos</t>
  </si>
  <si>
    <t>Preferencia</t>
  </si>
  <si>
    <t>Acepta oferta (SI ó NO)</t>
  </si>
  <si>
    <t>Ganancia (Pérdida)</t>
  </si>
  <si>
    <t>VP(sin renta)</t>
  </si>
  <si>
    <t>VP(con renta)</t>
  </si>
  <si>
    <t>CostoOportunidadCapital</t>
  </si>
  <si>
    <t>NOTA:</t>
  </si>
</sst>
</file>

<file path=xl/styles.xml><?xml version="1.0" encoding="utf-8"?>
<styleSheet xmlns="http://schemas.openxmlformats.org/spreadsheetml/2006/main">
  <numFmts count="11">
    <numFmt numFmtId="44" formatCode="_-* #,##0.00\ &quot;€&quot;_-;\-* #,##0.00\ &quot;€&quot;_-;_-* &quot;-&quot;??\ &quot;€&quot;_-;_-@_-"/>
    <numFmt numFmtId="164" formatCode="0.000"/>
    <numFmt numFmtId="165" formatCode="0.0000"/>
    <numFmt numFmtId="166" formatCode="#,##0.000000"/>
    <numFmt numFmtId="167" formatCode="[$-340A]General"/>
    <numFmt numFmtId="168" formatCode="_-&quot;$&quot;\ * #,##0_-;\-&quot;$&quot;\ * #,##0_-;_-&quot;$&quot;\ * &quot;-&quot;??_-;_-@_-"/>
    <numFmt numFmtId="169" formatCode="&quot;$&quot;\ #,##0;[Red]\-&quot;$&quot;\ #,##0"/>
    <numFmt numFmtId="170" formatCode="&quot;$&quot;&quot; &quot;#,##0"/>
    <numFmt numFmtId="171" formatCode="&quot;$&quot;\ #,##0"/>
    <numFmt numFmtId="172" formatCode="&quot;$&quot;\ #,##0.00;[Red]\-&quot;$&quot;\ #,##0.00"/>
    <numFmt numFmtId="173" formatCode="0.0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b/>
      <vertAlign val="subscript"/>
      <sz val="12"/>
      <name val="Times New Roman"/>
      <family val="1"/>
    </font>
    <font>
      <b/>
      <i/>
      <sz val="12"/>
      <name val="Times New Roman"/>
      <family val="1"/>
    </font>
    <font>
      <b/>
      <i/>
      <vertAlign val="subscript"/>
      <sz val="12"/>
      <name val="Times New Roman"/>
      <family val="1"/>
    </font>
    <font>
      <b/>
      <sz val="8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24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vertAlign val="superscript"/>
      <sz val="12"/>
      <name val="Times New Roman"/>
      <family val="1"/>
    </font>
    <font>
      <b/>
      <i/>
      <sz val="14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b/>
      <i/>
      <vertAlign val="subscript"/>
      <sz val="14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sz val="10"/>
      <color rgb="FF000000"/>
      <name val="Arial1"/>
    </font>
    <font>
      <sz val="12"/>
      <color rgb="FF000000"/>
      <name val="Times New Roman"/>
      <family val="1"/>
    </font>
    <font>
      <b/>
      <sz val="12"/>
      <color theme="0"/>
      <name val="Times New Roman"/>
      <family val="1"/>
    </font>
    <font>
      <b/>
      <sz val="18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6" fillId="0" borderId="0" applyFont="0" applyFill="0" applyBorder="0" applyAlignment="0" applyProtection="0"/>
    <xf numFmtId="167" fontId="25" fillId="0" borderId="0" applyBorder="0" applyProtection="0"/>
  </cellStyleXfs>
  <cellXfs count="1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3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1" xfId="0" applyFont="1" applyBorder="1" applyAlignment="1">
      <alignment horizontal="center"/>
    </xf>
    <xf numFmtId="3" fontId="2" fillId="0" borderId="1" xfId="0" applyNumberFormat="1" applyFont="1" applyBorder="1"/>
    <xf numFmtId="165" fontId="2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0" xfId="0" applyFont="1" applyBorder="1"/>
    <xf numFmtId="3" fontId="2" fillId="0" borderId="0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2" xfId="0" applyFont="1" applyBorder="1"/>
    <xf numFmtId="0" fontId="2" fillId="0" borderId="2" xfId="0" applyNumberFormat="1" applyFont="1" applyBorder="1"/>
    <xf numFmtId="0" fontId="2" fillId="0" borderId="3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0" borderId="0" xfId="0" applyFont="1"/>
    <xf numFmtId="0" fontId="2" fillId="0" borderId="1" xfId="0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170" fontId="26" fillId="0" borderId="0" xfId="2" applyNumberFormat="1" applyFont="1" applyFill="1" applyBorder="1" applyAlignment="1"/>
    <xf numFmtId="167" fontId="26" fillId="0" borderId="0" xfId="2" applyFont="1" applyFill="1" applyBorder="1" applyAlignment="1"/>
    <xf numFmtId="0" fontId="2" fillId="0" borderId="0" xfId="0" applyFont="1" applyFill="1" applyBorder="1"/>
    <xf numFmtId="168" fontId="27" fillId="0" borderId="0" xfId="1" applyNumberFormat="1" applyFont="1" applyFill="1" applyBorder="1" applyAlignment="1">
      <alignment horizontal="center"/>
    </xf>
    <xf numFmtId="169" fontId="2" fillId="0" borderId="0" xfId="0" applyNumberFormat="1" applyFont="1" applyFill="1" applyBorder="1"/>
    <xf numFmtId="0" fontId="14" fillId="0" borderId="0" xfId="0" applyFont="1" applyFill="1" applyBorder="1" applyAlignment="1">
      <alignment horizontal="center"/>
    </xf>
    <xf numFmtId="1" fontId="2" fillId="0" borderId="0" xfId="0" applyNumberFormat="1" applyFont="1" applyFill="1" applyBorder="1"/>
    <xf numFmtId="0" fontId="2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8" xfId="0" applyFont="1" applyBorder="1"/>
    <xf numFmtId="0" fontId="2" fillId="0" borderId="2" xfId="0" applyFont="1" applyBorder="1" applyAlignment="1">
      <alignment horizontal="right"/>
    </xf>
    <xf numFmtId="0" fontId="2" fillId="0" borderId="8" xfId="0" applyNumberFormat="1" applyFont="1" applyBorder="1"/>
    <xf numFmtId="0" fontId="18" fillId="0" borderId="1" xfId="0" applyFont="1" applyBorder="1"/>
    <xf numFmtId="173" fontId="13" fillId="0" borderId="2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4" xfId="0" applyFont="1" applyBorder="1" applyAlignment="1"/>
    <xf numFmtId="0" fontId="28" fillId="0" borderId="4" xfId="0" applyFont="1" applyBorder="1" applyAlignment="1">
      <alignment horizontal="center"/>
    </xf>
    <xf numFmtId="173" fontId="13" fillId="0" borderId="0" xfId="0" applyNumberFormat="1" applyFont="1" applyAlignment="1">
      <alignment horizontal="center" vertical="center"/>
    </xf>
    <xf numFmtId="173" fontId="13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/>
    <xf numFmtId="165" fontId="2" fillId="0" borderId="0" xfId="0" applyNumberFormat="1" applyFont="1" applyFill="1"/>
    <xf numFmtId="1" fontId="2" fillId="0" borderId="0" xfId="0" applyNumberFormat="1" applyFont="1" applyFill="1"/>
    <xf numFmtId="0" fontId="3" fillId="0" borderId="0" xfId="0" applyNumberFormat="1" applyFont="1" applyFill="1" applyBorder="1"/>
    <xf numFmtId="0" fontId="2" fillId="0" borderId="0" xfId="0" applyNumberFormat="1" applyFont="1" applyFill="1" applyBorder="1"/>
    <xf numFmtId="0" fontId="14" fillId="0" borderId="0" xfId="0" applyFont="1" applyFill="1" applyAlignment="1">
      <alignment horizontal="center"/>
    </xf>
    <xf numFmtId="0" fontId="9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1" xfId="0" quotePrefix="1" applyFont="1" applyFill="1" applyBorder="1" applyAlignment="1">
      <alignment horizontal="right"/>
    </xf>
    <xf numFmtId="3" fontId="2" fillId="0" borderId="0" xfId="0" applyNumberFormat="1" applyFont="1" applyFill="1"/>
    <xf numFmtId="4" fontId="2" fillId="0" borderId="0" xfId="0" applyNumberFormat="1" applyFont="1" applyFill="1"/>
    <xf numFmtId="3" fontId="3" fillId="0" borderId="0" xfId="0" applyNumberFormat="1" applyFont="1" applyFill="1"/>
    <xf numFmtId="3" fontId="2" fillId="0" borderId="1" xfId="0" applyNumberFormat="1" applyFont="1" applyFill="1" applyBorder="1"/>
    <xf numFmtId="165" fontId="2" fillId="0" borderId="1" xfId="0" applyNumberFormat="1" applyFont="1" applyFill="1" applyBorder="1"/>
    <xf numFmtId="4" fontId="2" fillId="0" borderId="1" xfId="0" applyNumberFormat="1" applyFont="1" applyFill="1" applyBorder="1"/>
    <xf numFmtId="0" fontId="2" fillId="0" borderId="1" xfId="0" applyFont="1" applyFill="1" applyBorder="1"/>
    <xf numFmtId="3" fontId="3" fillId="0" borderId="1" xfId="0" applyNumberFormat="1" applyFont="1" applyFill="1" applyBorder="1"/>
    <xf numFmtId="1" fontId="2" fillId="0" borderId="0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19" fillId="0" borderId="1" xfId="0" applyFont="1" applyFill="1" applyBorder="1" applyAlignment="1">
      <alignment horizontal="right"/>
    </xf>
    <xf numFmtId="0" fontId="20" fillId="0" borderId="1" xfId="0" applyFont="1" applyFill="1" applyBorder="1" applyAlignment="1">
      <alignment horizontal="right"/>
    </xf>
    <xf numFmtId="0" fontId="20" fillId="0" borderId="1" xfId="0" applyFont="1" applyFill="1" applyBorder="1"/>
    <xf numFmtId="4" fontId="3" fillId="0" borderId="0" xfId="0" applyNumberFormat="1" applyFont="1" applyFill="1"/>
    <xf numFmtId="4" fontId="3" fillId="0" borderId="1" xfId="0" applyNumberFormat="1" applyFont="1" applyFill="1" applyBorder="1"/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3" fontId="2" fillId="0" borderId="0" xfId="0" applyNumberFormat="1" applyFont="1" applyFill="1" applyBorder="1"/>
    <xf numFmtId="4" fontId="3" fillId="0" borderId="0" xfId="0" applyNumberFormat="1" applyFont="1" applyFill="1" applyBorder="1"/>
    <xf numFmtId="169" fontId="3" fillId="0" borderId="0" xfId="0" applyNumberFormat="1" applyFont="1" applyFill="1" applyBorder="1"/>
    <xf numFmtId="165" fontId="2" fillId="0" borderId="0" xfId="0" applyNumberFormat="1" applyFont="1" applyFill="1" applyBorder="1"/>
    <xf numFmtId="0" fontId="18" fillId="0" borderId="1" xfId="0" applyFont="1" applyFill="1" applyBorder="1" applyAlignment="1">
      <alignment horizontal="right"/>
    </xf>
    <xf numFmtId="3" fontId="13" fillId="0" borderId="0" xfId="0" applyNumberFormat="1" applyFont="1" applyFill="1"/>
    <xf numFmtId="3" fontId="13" fillId="0" borderId="1" xfId="0" applyNumberFormat="1" applyFont="1" applyFill="1" applyBorder="1"/>
    <xf numFmtId="0" fontId="2" fillId="0" borderId="0" xfId="0" applyFont="1" applyFill="1" applyBorder="1" applyAlignment="1">
      <alignment horizontal="right"/>
    </xf>
    <xf numFmtId="171" fontId="2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1" xfId="0" applyFont="1" applyFill="1" applyBorder="1" applyAlignment="1">
      <alignment horizontal="center"/>
    </xf>
    <xf numFmtId="3" fontId="23" fillId="0" borderId="0" xfId="0" applyNumberFormat="1" applyFont="1" applyFill="1"/>
    <xf numFmtId="3" fontId="18" fillId="0" borderId="0" xfId="0" applyNumberFormat="1" applyFont="1" applyFill="1" applyAlignment="1">
      <alignment horizontal="center"/>
    </xf>
    <xf numFmtId="3" fontId="23" fillId="0" borderId="1" xfId="0" applyNumberFormat="1" applyFont="1" applyFill="1" applyBorder="1"/>
    <xf numFmtId="3" fontId="18" fillId="0" borderId="1" xfId="0" applyNumberFormat="1" applyFont="1" applyFill="1" applyBorder="1" applyAlignment="1">
      <alignment horizontal="center"/>
    </xf>
    <xf numFmtId="172" fontId="2" fillId="0" borderId="0" xfId="0" applyNumberFormat="1" applyFont="1" applyFill="1" applyBorder="1"/>
    <xf numFmtId="164" fontId="2" fillId="0" borderId="0" xfId="0" applyNumberFormat="1" applyFont="1" applyFill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0" fontId="20" fillId="0" borderId="0" xfId="0" applyFont="1" applyFill="1"/>
    <xf numFmtId="0" fontId="24" fillId="0" borderId="0" xfId="0" quotePrefix="1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right"/>
    </xf>
    <xf numFmtId="165" fontId="13" fillId="0" borderId="0" xfId="0" applyNumberFormat="1" applyFont="1" applyFill="1"/>
    <xf numFmtId="1" fontId="2" fillId="0" borderId="1" xfId="0" applyNumberFormat="1" applyFont="1" applyFill="1" applyBorder="1"/>
    <xf numFmtId="165" fontId="13" fillId="0" borderId="1" xfId="0" applyNumberFormat="1" applyFont="1" applyFill="1" applyBorder="1"/>
    <xf numFmtId="166" fontId="2" fillId="0" borderId="0" xfId="0" applyNumberFormat="1" applyFont="1" applyFill="1"/>
    <xf numFmtId="0" fontId="6" fillId="0" borderId="3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0" fontId="6" fillId="0" borderId="8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5" fontId="3" fillId="0" borderId="0" xfId="0" applyNumberFormat="1" applyFont="1" applyFill="1"/>
    <xf numFmtId="165" fontId="3" fillId="0" borderId="1" xfId="0" applyNumberFormat="1" applyFont="1" applyFill="1" applyBorder="1"/>
    <xf numFmtId="0" fontId="3" fillId="0" borderId="1" xfId="0" applyFont="1" applyFill="1" applyBorder="1"/>
  </cellXfs>
  <cellStyles count="3">
    <cellStyle name="Excel Built-in Normal" xfId="2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5</xdr:row>
      <xdr:rowOff>0</xdr:rowOff>
    </xdr:from>
    <xdr:to>
      <xdr:col>3</xdr:col>
      <xdr:colOff>266700</xdr:colOff>
      <xdr:row>5</xdr:row>
      <xdr:rowOff>0</xdr:rowOff>
    </xdr:to>
    <xdr:sp macro="" textlink="">
      <xdr:nvSpPr>
        <xdr:cNvPr id="5124" name="Line 4"/>
        <xdr:cNvSpPr>
          <a:spLocks noChangeShapeType="1"/>
        </xdr:cNvSpPr>
      </xdr:nvSpPr>
      <xdr:spPr bwMode="auto">
        <a:xfrm>
          <a:off x="1790700" y="1057275"/>
          <a:ext cx="0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352425</xdr:colOff>
      <xdr:row>5</xdr:row>
      <xdr:rowOff>0</xdr:rowOff>
    </xdr:from>
    <xdr:to>
      <xdr:col>6</xdr:col>
      <xdr:colOff>352425</xdr:colOff>
      <xdr:row>5</xdr:row>
      <xdr:rowOff>0</xdr:rowOff>
    </xdr:to>
    <xdr:sp macro="" textlink="">
      <xdr:nvSpPr>
        <xdr:cNvPr id="5125" name="Line 5"/>
        <xdr:cNvSpPr>
          <a:spLocks noChangeShapeType="1"/>
        </xdr:cNvSpPr>
      </xdr:nvSpPr>
      <xdr:spPr bwMode="auto">
        <a:xfrm>
          <a:off x="4162425" y="1057275"/>
          <a:ext cx="0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276225</xdr:colOff>
      <xdr:row>5</xdr:row>
      <xdr:rowOff>0</xdr:rowOff>
    </xdr:from>
    <xdr:to>
      <xdr:col>3</xdr:col>
      <xdr:colOff>276225</xdr:colOff>
      <xdr:row>5</xdr:row>
      <xdr:rowOff>0</xdr:rowOff>
    </xdr:to>
    <xdr:sp macro="" textlink="">
      <xdr:nvSpPr>
        <xdr:cNvPr id="5126" name="Line 6"/>
        <xdr:cNvSpPr>
          <a:spLocks noChangeShapeType="1"/>
        </xdr:cNvSpPr>
      </xdr:nvSpPr>
      <xdr:spPr bwMode="auto">
        <a:xfrm>
          <a:off x="1800225" y="1057275"/>
          <a:ext cx="0" cy="0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0</xdr:col>
      <xdr:colOff>333375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5128" name="Text Box 8"/>
        <xdr:cNvSpPr txBox="1">
          <a:spLocks noChangeArrowheads="1"/>
        </xdr:cNvSpPr>
      </xdr:nvSpPr>
      <xdr:spPr bwMode="auto">
        <a:xfrm>
          <a:off x="333375" y="6257925"/>
          <a:ext cx="443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0             1           2                                          9        10</a:t>
          </a:r>
        </a:p>
      </xdr:txBody>
    </xdr:sp>
    <xdr:clientData/>
  </xdr:twoCellAnchor>
  <xdr:twoCellAnchor>
    <xdr:from>
      <xdr:col>6</xdr:col>
      <xdr:colOff>752475</xdr:colOff>
      <xdr:row>5</xdr:row>
      <xdr:rowOff>0</xdr:rowOff>
    </xdr:from>
    <xdr:to>
      <xdr:col>6</xdr:col>
      <xdr:colOff>752475</xdr:colOff>
      <xdr:row>5</xdr:row>
      <xdr:rowOff>0</xdr:rowOff>
    </xdr:to>
    <xdr:sp macro="" textlink="">
      <xdr:nvSpPr>
        <xdr:cNvPr id="5129" name="Line 9"/>
        <xdr:cNvSpPr>
          <a:spLocks noChangeShapeType="1"/>
        </xdr:cNvSpPr>
      </xdr:nvSpPr>
      <xdr:spPr bwMode="auto">
        <a:xfrm>
          <a:off x="4562475" y="1057275"/>
          <a:ext cx="0" cy="0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6</xdr:col>
      <xdr:colOff>371475</xdr:colOff>
      <xdr:row>5</xdr:row>
      <xdr:rowOff>0</xdr:rowOff>
    </xdr:from>
    <xdr:to>
      <xdr:col>6</xdr:col>
      <xdr:colOff>371475</xdr:colOff>
      <xdr:row>5</xdr:row>
      <xdr:rowOff>0</xdr:rowOff>
    </xdr:to>
    <xdr:sp macro="" textlink="">
      <xdr:nvSpPr>
        <xdr:cNvPr id="5130" name="Line 10"/>
        <xdr:cNvSpPr>
          <a:spLocks noChangeShapeType="1"/>
        </xdr:cNvSpPr>
      </xdr:nvSpPr>
      <xdr:spPr bwMode="auto">
        <a:xfrm>
          <a:off x="4181475" y="1057275"/>
          <a:ext cx="0" cy="0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3</xdr:col>
      <xdr:colOff>266700</xdr:colOff>
      <xdr:row>5</xdr:row>
      <xdr:rowOff>0</xdr:rowOff>
    </xdr:from>
    <xdr:to>
      <xdr:col>3</xdr:col>
      <xdr:colOff>266700</xdr:colOff>
      <xdr:row>5</xdr:row>
      <xdr:rowOff>0</xdr:rowOff>
    </xdr:to>
    <xdr:sp macro="" textlink="">
      <xdr:nvSpPr>
        <xdr:cNvPr id="5134" name="Line 14"/>
        <xdr:cNvSpPr>
          <a:spLocks noChangeShapeType="1"/>
        </xdr:cNvSpPr>
      </xdr:nvSpPr>
      <xdr:spPr bwMode="auto">
        <a:xfrm>
          <a:off x="1790700" y="1057275"/>
          <a:ext cx="0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352425</xdr:colOff>
      <xdr:row>5</xdr:row>
      <xdr:rowOff>0</xdr:rowOff>
    </xdr:from>
    <xdr:to>
      <xdr:col>6</xdr:col>
      <xdr:colOff>352425</xdr:colOff>
      <xdr:row>5</xdr:row>
      <xdr:rowOff>0</xdr:rowOff>
    </xdr:to>
    <xdr:sp macro="" textlink="">
      <xdr:nvSpPr>
        <xdr:cNvPr id="5135" name="Line 15"/>
        <xdr:cNvSpPr>
          <a:spLocks noChangeShapeType="1"/>
        </xdr:cNvSpPr>
      </xdr:nvSpPr>
      <xdr:spPr bwMode="auto">
        <a:xfrm>
          <a:off x="4162425" y="1057275"/>
          <a:ext cx="0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333375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5136" name="Text Box 16"/>
        <xdr:cNvSpPr txBox="1">
          <a:spLocks noChangeArrowheads="1"/>
        </xdr:cNvSpPr>
      </xdr:nvSpPr>
      <xdr:spPr bwMode="auto">
        <a:xfrm>
          <a:off x="333375" y="6257925"/>
          <a:ext cx="443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0             1           2                                          9        10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</xdr:col>
      <xdr:colOff>9525</xdr:colOff>
      <xdr:row>3</xdr:row>
      <xdr:rowOff>0</xdr:rowOff>
    </xdr:to>
    <xdr:sp macro="" textlink="">
      <xdr:nvSpPr>
        <xdr:cNvPr id="2052" name="Line 4"/>
        <xdr:cNvSpPr>
          <a:spLocks noChangeShapeType="1"/>
        </xdr:cNvSpPr>
      </xdr:nvSpPr>
      <xdr:spPr bwMode="auto">
        <a:xfrm>
          <a:off x="1228725" y="657225"/>
          <a:ext cx="9525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41"/>
  <sheetViews>
    <sheetView tabSelected="1" zoomScale="90" zoomScaleNormal="90" workbookViewId="0"/>
  </sheetViews>
  <sheetFormatPr baseColWidth="10" defaultRowHeight="15.75"/>
  <cols>
    <col min="1" max="1" width="4" style="1" customWidth="1"/>
    <col min="2" max="2" width="6.28515625" style="1" customWidth="1"/>
    <col min="3" max="3" width="25.5703125" style="1" customWidth="1"/>
    <col min="4" max="12" width="15.42578125" style="1" customWidth="1"/>
    <col min="13" max="16384" width="11.42578125" style="1"/>
  </cols>
  <sheetData>
    <row r="1" spans="2:12" ht="30">
      <c r="B1" s="17" t="s">
        <v>100</v>
      </c>
    </row>
    <row r="2" spans="2:12" ht="23.25" thickBot="1">
      <c r="B2" s="18" t="s">
        <v>101</v>
      </c>
    </row>
    <row r="3" spans="2:12" ht="21" thickBot="1">
      <c r="B3" s="19" t="s">
        <v>178</v>
      </c>
      <c r="F3" s="38" t="s">
        <v>177</v>
      </c>
      <c r="G3" s="22"/>
      <c r="H3" s="14"/>
    </row>
    <row r="4" spans="2:12" ht="21" thickBot="1">
      <c r="B4" s="19" t="s">
        <v>179</v>
      </c>
      <c r="C4" s="14"/>
      <c r="D4" s="48"/>
      <c r="E4" s="40"/>
      <c r="F4" s="40"/>
      <c r="G4" s="40"/>
      <c r="H4" s="40"/>
      <c r="I4" s="41"/>
      <c r="J4" s="39"/>
      <c r="K4" s="39"/>
      <c r="L4" s="14"/>
    </row>
    <row r="5" spans="2:12" ht="20.25" thickBot="1">
      <c r="B5" s="45" t="s">
        <v>75</v>
      </c>
      <c r="C5" s="13"/>
      <c r="D5" s="13"/>
      <c r="E5" s="13"/>
      <c r="F5" s="13"/>
      <c r="G5" s="13"/>
      <c r="H5" s="13"/>
      <c r="I5" s="27" t="s">
        <v>186</v>
      </c>
    </row>
    <row r="6" spans="2:12" ht="19.5" thickBot="1">
      <c r="B6" s="4">
        <v>1</v>
      </c>
      <c r="C6" s="23" t="s">
        <v>112</v>
      </c>
      <c r="D6" s="44"/>
      <c r="F6" s="23" t="s">
        <v>114</v>
      </c>
      <c r="G6" s="42"/>
      <c r="I6" s="50"/>
    </row>
    <row r="7" spans="2:12" ht="19.5" thickBot="1">
      <c r="B7" s="4"/>
      <c r="C7" s="23" t="s">
        <v>113</v>
      </c>
      <c r="D7" s="21"/>
      <c r="F7" s="23" t="s">
        <v>115</v>
      </c>
      <c r="G7" s="20"/>
      <c r="I7" s="50"/>
    </row>
    <row r="8" spans="2:12" ht="19.5" thickBot="1">
      <c r="B8" s="4">
        <v>2</v>
      </c>
      <c r="C8" s="23" t="s">
        <v>76</v>
      </c>
      <c r="D8" s="20"/>
      <c r="F8" s="23" t="s">
        <v>77</v>
      </c>
      <c r="G8" s="20"/>
      <c r="I8" s="50"/>
    </row>
    <row r="9" spans="2:12" ht="19.5" thickBot="1">
      <c r="B9" s="4"/>
      <c r="C9" s="23" t="s">
        <v>78</v>
      </c>
      <c r="D9" s="20"/>
      <c r="F9" s="35"/>
      <c r="I9" s="51"/>
    </row>
    <row r="10" spans="2:12" ht="19.5" thickBot="1">
      <c r="B10" s="4">
        <v>3</v>
      </c>
      <c r="C10" s="23" t="s">
        <v>80</v>
      </c>
      <c r="D10" s="20"/>
      <c r="F10" s="23"/>
      <c r="I10" s="50"/>
    </row>
    <row r="11" spans="2:12" ht="19.5" thickBot="1">
      <c r="B11" s="4">
        <v>4</v>
      </c>
      <c r="C11" s="23" t="s">
        <v>180</v>
      </c>
      <c r="D11" s="20"/>
      <c r="E11" s="14"/>
      <c r="F11" s="23" t="s">
        <v>183</v>
      </c>
      <c r="G11" s="20"/>
      <c r="H11" s="14"/>
      <c r="I11" s="51"/>
      <c r="J11" s="47"/>
    </row>
    <row r="12" spans="2:12" ht="19.5" thickBot="1">
      <c r="C12" s="23" t="s">
        <v>181</v>
      </c>
      <c r="D12" s="20"/>
      <c r="E12" s="14"/>
      <c r="F12" s="23" t="s">
        <v>184</v>
      </c>
      <c r="G12" s="20"/>
      <c r="H12" s="14"/>
      <c r="I12" s="51"/>
      <c r="J12" s="14"/>
    </row>
    <row r="13" spans="2:12" ht="19.5" thickBot="1">
      <c r="C13" s="23" t="s">
        <v>182</v>
      </c>
      <c r="D13" s="43"/>
      <c r="E13" s="14"/>
      <c r="F13" s="23" t="s">
        <v>185</v>
      </c>
      <c r="G13" s="43"/>
      <c r="I13" s="50"/>
      <c r="J13" s="14"/>
    </row>
    <row r="14" spans="2:12" ht="19.5" thickBot="1">
      <c r="B14" s="4">
        <v>5</v>
      </c>
      <c r="C14" s="23" t="s">
        <v>60</v>
      </c>
      <c r="D14" s="20"/>
      <c r="F14" s="23" t="s">
        <v>59</v>
      </c>
      <c r="G14" s="20"/>
      <c r="I14" s="50"/>
    </row>
    <row r="15" spans="2:12" ht="19.5" thickBot="1">
      <c r="B15" s="4"/>
      <c r="C15" s="23" t="s">
        <v>58</v>
      </c>
      <c r="D15" s="20"/>
      <c r="F15" s="14"/>
      <c r="H15" s="14"/>
      <c r="I15" s="50"/>
    </row>
    <row r="16" spans="2:12" ht="19.5" thickBot="1">
      <c r="B16" s="4">
        <v>6</v>
      </c>
      <c r="C16" s="23" t="s">
        <v>81</v>
      </c>
      <c r="D16" s="20"/>
      <c r="I16" s="50"/>
    </row>
    <row r="17" spans="2:12" ht="19.5" thickBot="1">
      <c r="B17" s="4"/>
      <c r="C17" s="23" t="s">
        <v>82</v>
      </c>
      <c r="D17" s="20"/>
      <c r="I17" s="50"/>
    </row>
    <row r="18" spans="2:12" ht="19.5" thickBot="1">
      <c r="B18" s="4"/>
      <c r="C18" s="23" t="s">
        <v>83</v>
      </c>
      <c r="D18" s="20"/>
      <c r="I18" s="50"/>
    </row>
    <row r="19" spans="2:12" ht="19.5" thickBot="1">
      <c r="B19" s="4"/>
      <c r="C19" s="23" t="s">
        <v>84</v>
      </c>
      <c r="D19" s="20"/>
      <c r="E19" s="14"/>
      <c r="I19" s="50"/>
    </row>
    <row r="20" spans="2:12" ht="16.5" thickBot="1">
      <c r="B20" s="4">
        <v>7</v>
      </c>
      <c r="C20" s="24" t="s">
        <v>88</v>
      </c>
      <c r="D20" s="42"/>
      <c r="F20" s="23" t="s">
        <v>89</v>
      </c>
      <c r="G20" s="20"/>
      <c r="I20" s="52"/>
    </row>
    <row r="21" spans="2:12" ht="19.5" thickBot="1">
      <c r="B21" s="4"/>
      <c r="C21" s="23" t="s">
        <v>187</v>
      </c>
      <c r="D21" s="46"/>
      <c r="F21" s="23"/>
      <c r="G21" s="14"/>
      <c r="H21" s="23"/>
      <c r="I21" s="51"/>
    </row>
    <row r="22" spans="2:12" ht="19.5" thickBot="1">
      <c r="B22" s="4">
        <v>8</v>
      </c>
      <c r="C22" s="1" t="s">
        <v>93</v>
      </c>
      <c r="D22" s="20"/>
      <c r="E22" s="14"/>
      <c r="F22" s="23"/>
      <c r="I22" s="50"/>
    </row>
    <row r="23" spans="2:12" ht="16.5" thickBot="1">
      <c r="B23" s="4">
        <v>9</v>
      </c>
      <c r="C23" s="1" t="s">
        <v>188</v>
      </c>
      <c r="D23" s="20"/>
      <c r="F23" s="23" t="s">
        <v>94</v>
      </c>
      <c r="G23" s="20"/>
      <c r="I23" s="52"/>
      <c r="L23" s="14"/>
    </row>
    <row r="24" spans="2:12" ht="16.5" thickBot="1">
      <c r="B24" s="4"/>
      <c r="C24" s="23" t="s">
        <v>189</v>
      </c>
      <c r="D24" s="20"/>
      <c r="F24" s="23"/>
      <c r="G24" s="14"/>
      <c r="I24" s="52"/>
      <c r="J24" s="23"/>
      <c r="K24" s="14"/>
      <c r="L24" s="14"/>
    </row>
    <row r="25" spans="2:12" ht="16.5" thickBot="1">
      <c r="B25" s="4">
        <v>10</v>
      </c>
      <c r="C25" s="1" t="s">
        <v>190</v>
      </c>
      <c r="D25" s="20"/>
      <c r="F25" s="23" t="s">
        <v>191</v>
      </c>
      <c r="G25" s="20"/>
      <c r="I25" s="52"/>
    </row>
    <row r="26" spans="2:12" ht="16.5" thickBot="1">
      <c r="B26" s="4">
        <v>11</v>
      </c>
      <c r="C26" s="1" t="s">
        <v>192</v>
      </c>
      <c r="D26" s="20"/>
      <c r="I26" s="52"/>
    </row>
    <row r="27" spans="2:12" ht="16.5" thickBot="1">
      <c r="B27" s="4">
        <v>12</v>
      </c>
      <c r="C27" s="23" t="s">
        <v>97</v>
      </c>
      <c r="D27" s="20"/>
      <c r="F27" s="23" t="s">
        <v>98</v>
      </c>
      <c r="G27" s="20"/>
      <c r="I27" s="52"/>
    </row>
    <row r="28" spans="2:12" ht="16.5" thickBot="1">
      <c r="B28" s="8"/>
      <c r="C28" s="26" t="s">
        <v>99</v>
      </c>
      <c r="D28" s="20"/>
      <c r="E28" s="13"/>
      <c r="F28" s="13"/>
      <c r="G28" s="13"/>
      <c r="H28" s="13"/>
      <c r="I28" s="53"/>
    </row>
    <row r="29" spans="2:12" ht="23.25" thickBot="1">
      <c r="H29" s="49" t="s">
        <v>193</v>
      </c>
      <c r="I29" s="54"/>
    </row>
    <row r="30" spans="2:12" ht="20.25">
      <c r="B30" s="19" t="s">
        <v>90</v>
      </c>
    </row>
    <row r="31" spans="2:12">
      <c r="B31" s="1" t="s">
        <v>102</v>
      </c>
    </row>
    <row r="33" spans="2:4">
      <c r="B33" s="1" t="s">
        <v>103</v>
      </c>
    </row>
    <row r="34" spans="2:4">
      <c r="B34" s="1" t="s">
        <v>85</v>
      </c>
    </row>
    <row r="36" spans="2:4">
      <c r="B36" s="1" t="s">
        <v>176</v>
      </c>
    </row>
    <row r="37" spans="2:4">
      <c r="B37" s="1" t="s">
        <v>79</v>
      </c>
    </row>
    <row r="39" spans="2:4">
      <c r="B39" s="1" t="s">
        <v>108</v>
      </c>
    </row>
    <row r="40" spans="2:4" ht="18.75">
      <c r="C40" s="2" t="s">
        <v>107</v>
      </c>
      <c r="D40" s="25" t="s">
        <v>109</v>
      </c>
    </row>
    <row r="41" spans="2:4" ht="18.75">
      <c r="C41" s="2" t="s">
        <v>110</v>
      </c>
      <c r="D41" s="25" t="s">
        <v>111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39"/>
  <sheetViews>
    <sheetView workbookViewId="0"/>
  </sheetViews>
  <sheetFormatPr baseColWidth="10" defaultRowHeight="15.75"/>
  <cols>
    <col min="1" max="1" width="9.7109375" style="4" customWidth="1"/>
    <col min="2" max="2" width="11.42578125" style="1"/>
    <col min="3" max="3" width="9" style="1" customWidth="1"/>
    <col min="4" max="4" width="13.7109375" style="7" customWidth="1"/>
    <col min="5" max="5" width="17.140625" style="1" customWidth="1"/>
    <col min="6" max="6" width="15.85546875" style="1" customWidth="1"/>
    <col min="7" max="7" width="7.42578125" style="1" customWidth="1"/>
    <col min="8" max="8" width="10.140625" style="1" customWidth="1"/>
    <col min="9" max="9" width="3.7109375" style="1" customWidth="1"/>
    <col min="10" max="10" width="14.7109375" style="1" customWidth="1"/>
    <col min="11" max="16384" width="11.42578125" style="1"/>
  </cols>
  <sheetData>
    <row r="1" spans="1:4">
      <c r="B1" s="5" t="s">
        <v>6</v>
      </c>
    </row>
    <row r="2" spans="1:4">
      <c r="A2" s="4" t="s">
        <v>29</v>
      </c>
      <c r="B2" s="1" t="s">
        <v>30</v>
      </c>
    </row>
    <row r="3" spans="1:4">
      <c r="B3" s="1" t="s">
        <v>49</v>
      </c>
    </row>
    <row r="4" spans="1:4">
      <c r="B4" s="1" t="s">
        <v>95</v>
      </c>
    </row>
    <row r="5" spans="1:4">
      <c r="B5" s="1" t="s">
        <v>96</v>
      </c>
    </row>
    <row r="6" spans="1:4">
      <c r="B6" s="1" t="s">
        <v>31</v>
      </c>
    </row>
    <row r="7" spans="1:4">
      <c r="B7" s="1" t="s">
        <v>48</v>
      </c>
    </row>
    <row r="8" spans="1:4">
      <c r="D8" s="1"/>
    </row>
    <row r="9" spans="1:4">
      <c r="D9" s="1"/>
    </row>
    <row r="10" spans="1:4" ht="16.5" thickBot="1">
      <c r="A10" s="8" t="s">
        <v>3</v>
      </c>
      <c r="B10" s="12" t="s">
        <v>1</v>
      </c>
      <c r="C10" s="2"/>
      <c r="D10" s="1"/>
    </row>
    <row r="11" spans="1:4">
      <c r="A11" s="4">
        <v>1</v>
      </c>
      <c r="B11" s="7">
        <v>6.2199999999999998E-2</v>
      </c>
      <c r="C11" s="3"/>
      <c r="D11" s="1"/>
    </row>
    <row r="12" spans="1:4">
      <c r="A12" s="4">
        <v>2</v>
      </c>
      <c r="B12" s="7">
        <v>6.5900000000000014E-2</v>
      </c>
      <c r="C12" s="3"/>
      <c r="D12" s="1"/>
    </row>
    <row r="13" spans="1:4">
      <c r="A13" s="4">
        <v>3</v>
      </c>
      <c r="B13" s="7">
        <v>6.6000000000000017E-2</v>
      </c>
      <c r="C13" s="3"/>
      <c r="D13" s="1"/>
    </row>
    <row r="14" spans="1:4">
      <c r="A14" s="4">
        <v>4</v>
      </c>
      <c r="B14" s="7">
        <v>6.3900000000000012E-2</v>
      </c>
      <c r="C14" s="3"/>
      <c r="D14" s="1"/>
    </row>
    <row r="15" spans="1:4">
      <c r="A15" s="4">
        <v>5</v>
      </c>
      <c r="B15" s="7">
        <v>7.8900000000000012E-2</v>
      </c>
      <c r="C15" s="3"/>
      <c r="D15" s="1"/>
    </row>
    <row r="16" spans="1:4">
      <c r="A16" s="4">
        <v>6</v>
      </c>
      <c r="B16" s="7">
        <v>6.6300000000000012E-2</v>
      </c>
      <c r="C16" s="3"/>
      <c r="D16" s="1"/>
    </row>
    <row r="17" spans="1:4">
      <c r="A17" s="4">
        <v>7</v>
      </c>
      <c r="B17" s="7">
        <v>7.1700000000000014E-2</v>
      </c>
      <c r="C17" s="3"/>
      <c r="D17" s="1"/>
    </row>
    <row r="18" spans="1:4">
      <c r="A18" s="4">
        <v>8</v>
      </c>
      <c r="B18" s="7">
        <v>7.8300000000000008E-2</v>
      </c>
      <c r="C18" s="3"/>
      <c r="D18" s="1"/>
    </row>
    <row r="19" spans="1:4">
      <c r="A19" s="4">
        <v>9</v>
      </c>
      <c r="B19" s="7">
        <v>8.9900000000000008E-2</v>
      </c>
      <c r="C19" s="3"/>
      <c r="D19" s="1"/>
    </row>
    <row r="20" spans="1:4">
      <c r="A20" s="4">
        <v>10</v>
      </c>
      <c r="B20" s="7">
        <v>7.2800000000000017E-2</v>
      </c>
      <c r="C20" s="3"/>
      <c r="D20" s="1"/>
    </row>
    <row r="21" spans="1:4">
      <c r="A21" s="4">
        <v>11</v>
      </c>
      <c r="B21" s="7">
        <v>9.0900000000000009E-2</v>
      </c>
      <c r="C21" s="3"/>
      <c r="D21" s="1"/>
    </row>
    <row r="22" spans="1:4">
      <c r="A22" s="4">
        <v>12</v>
      </c>
      <c r="B22" s="7">
        <v>5.5599999999999997E-2</v>
      </c>
      <c r="C22" s="3"/>
      <c r="D22" s="1"/>
    </row>
    <row r="23" spans="1:4">
      <c r="A23" s="4">
        <v>13</v>
      </c>
      <c r="B23" s="7">
        <v>0.13240000000000002</v>
      </c>
      <c r="C23" s="3"/>
    </row>
    <row r="24" spans="1:4">
      <c r="A24" s="4">
        <v>14</v>
      </c>
      <c r="B24" s="7">
        <v>8.5000000000000006E-2</v>
      </c>
      <c r="C24" s="3"/>
    </row>
    <row r="25" spans="1:4">
      <c r="A25" s="4">
        <v>15</v>
      </c>
      <c r="B25" s="7">
        <v>0.2087</v>
      </c>
      <c r="C25" s="3"/>
    </row>
    <row r="26" spans="1:4">
      <c r="A26" s="4">
        <v>16</v>
      </c>
      <c r="B26" s="7">
        <v>0.23619999999999999</v>
      </c>
      <c r="C26" s="3"/>
    </row>
    <row r="27" spans="1:4">
      <c r="A27" s="4">
        <v>17</v>
      </c>
      <c r="B27" s="7">
        <v>6.4700000000000008E-2</v>
      </c>
      <c r="C27" s="3"/>
    </row>
    <row r="28" spans="1:4">
      <c r="A28" s="4">
        <v>18</v>
      </c>
      <c r="B28" s="7">
        <v>8.3700000000000011E-2</v>
      </c>
      <c r="C28" s="3"/>
    </row>
    <row r="29" spans="1:4">
      <c r="A29" s="4">
        <v>19</v>
      </c>
      <c r="B29" s="7">
        <v>0.24030000000000001</v>
      </c>
      <c r="C29" s="3"/>
    </row>
    <row r="30" spans="1:4">
      <c r="A30" s="4">
        <v>20</v>
      </c>
      <c r="B30" s="7">
        <v>0.2505</v>
      </c>
      <c r="C30" s="3"/>
    </row>
    <row r="31" spans="1:4">
      <c r="A31" s="4">
        <v>21</v>
      </c>
      <c r="B31" s="7">
        <v>0.1208</v>
      </c>
      <c r="C31" s="3"/>
    </row>
    <row r="32" spans="1:4">
      <c r="A32" s="4">
        <v>22</v>
      </c>
      <c r="B32" s="7">
        <v>0.19160000000000002</v>
      </c>
      <c r="C32" s="3"/>
    </row>
    <row r="33" spans="1:4">
      <c r="A33" s="4">
        <v>23</v>
      </c>
      <c r="B33" s="7">
        <v>8.6000000000000007E-2</v>
      </c>
      <c r="C33" s="3"/>
    </row>
    <row r="34" spans="1:4">
      <c r="A34" s="4">
        <v>24</v>
      </c>
      <c r="B34" s="7">
        <v>0.157</v>
      </c>
      <c r="C34" s="3"/>
    </row>
    <row r="35" spans="1:4" ht="16.5" thickBot="1">
      <c r="A35" s="8">
        <v>25</v>
      </c>
      <c r="B35" s="10">
        <v>0.154</v>
      </c>
      <c r="C35" s="3"/>
    </row>
    <row r="36" spans="1:4">
      <c r="B36" s="7"/>
      <c r="D36" s="1"/>
    </row>
    <row r="37" spans="1:4">
      <c r="B37" s="7"/>
      <c r="D37" s="1"/>
    </row>
    <row r="38" spans="1:4">
      <c r="D38" s="1"/>
    </row>
    <row r="39" spans="1:4">
      <c r="D39" s="1"/>
    </row>
  </sheetData>
  <phoneticPr fontId="4" type="noConversion"/>
  <pageMargins left="0.75" right="0.75" top="1" bottom="1" header="0" footer="0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5"/>
  <sheetViews>
    <sheetView workbookViewId="0"/>
  </sheetViews>
  <sheetFormatPr baseColWidth="10" defaultRowHeight="15.75"/>
  <cols>
    <col min="1" max="1" width="7" style="4" customWidth="1"/>
    <col min="2" max="2" width="11.7109375" style="1" customWidth="1"/>
    <col min="3" max="3" width="12.7109375" style="1" customWidth="1"/>
    <col min="4" max="4" width="10.140625" style="1" customWidth="1"/>
    <col min="5" max="6" width="18.7109375" style="1" customWidth="1"/>
    <col min="7" max="7" width="16.140625" style="1" customWidth="1"/>
    <col min="8" max="8" width="7.5703125" style="1" customWidth="1"/>
    <col min="9" max="9" width="4.7109375" style="1" customWidth="1"/>
    <col min="10" max="16384" width="11.42578125" style="1"/>
  </cols>
  <sheetData>
    <row r="1" spans="1:4">
      <c r="B1" s="5" t="s">
        <v>6</v>
      </c>
    </row>
    <row r="2" spans="1:4" ht="17.25">
      <c r="A2" s="4" t="s">
        <v>32</v>
      </c>
      <c r="B2" s="1" t="s">
        <v>64</v>
      </c>
    </row>
    <row r="3" spans="1:4">
      <c r="B3" s="1" t="s">
        <v>68</v>
      </c>
    </row>
    <row r="4" spans="1:4">
      <c r="B4" s="1" t="s">
        <v>33</v>
      </c>
    </row>
    <row r="5" spans="1:4">
      <c r="B5" s="1" t="s">
        <v>65</v>
      </c>
    </row>
    <row r="6" spans="1:4">
      <c r="B6" s="1" t="s">
        <v>48</v>
      </c>
    </row>
    <row r="8" spans="1:4" ht="18.75" customHeight="1" thickBot="1">
      <c r="A8" s="8" t="s">
        <v>3</v>
      </c>
      <c r="B8" s="11" t="s">
        <v>36</v>
      </c>
      <c r="C8" s="11" t="s">
        <v>37</v>
      </c>
      <c r="D8" s="12" t="s">
        <v>1</v>
      </c>
    </row>
    <row r="9" spans="1:4">
      <c r="A9" s="4">
        <v>1</v>
      </c>
      <c r="B9" s="3">
        <v>28500000</v>
      </c>
      <c r="C9" s="3">
        <f>B9+10000000</f>
        <v>38500000</v>
      </c>
      <c r="D9" s="7">
        <v>5.4899999999999997E-2</v>
      </c>
    </row>
    <row r="10" spans="1:4">
      <c r="A10" s="4">
        <v>2</v>
      </c>
      <c r="B10" s="3">
        <f>B9+250000</f>
        <v>28750000</v>
      </c>
      <c r="C10" s="3">
        <f t="shared" ref="C10:C33" si="0">B10+10000000</f>
        <v>38750000</v>
      </c>
      <c r="D10" s="7">
        <v>4.9399999999999999E-2</v>
      </c>
    </row>
    <row r="11" spans="1:4">
      <c r="A11" s="4">
        <v>3</v>
      </c>
      <c r="B11" s="3">
        <f t="shared" ref="B11:B33" si="1">B10+250000</f>
        <v>29000000</v>
      </c>
      <c r="C11" s="3">
        <f t="shared" si="0"/>
        <v>39000000</v>
      </c>
      <c r="D11" s="7">
        <v>4.8000000000000001E-2</v>
      </c>
    </row>
    <row r="12" spans="1:4">
      <c r="A12" s="4">
        <v>4</v>
      </c>
      <c r="B12" s="3">
        <f t="shared" si="1"/>
        <v>29250000</v>
      </c>
      <c r="C12" s="3">
        <f t="shared" si="0"/>
        <v>39250000</v>
      </c>
      <c r="D12" s="7">
        <v>5.5800000000000002E-2</v>
      </c>
    </row>
    <row r="13" spans="1:4">
      <c r="A13" s="4">
        <v>5</v>
      </c>
      <c r="B13" s="3">
        <f t="shared" si="1"/>
        <v>29500000</v>
      </c>
      <c r="C13" s="3">
        <f t="shared" si="0"/>
        <v>39500000</v>
      </c>
      <c r="D13" s="7">
        <v>4.99E-2</v>
      </c>
    </row>
    <row r="14" spans="1:4">
      <c r="A14" s="4">
        <v>6</v>
      </c>
      <c r="B14" s="3">
        <f t="shared" si="1"/>
        <v>29750000</v>
      </c>
      <c r="C14" s="3">
        <f t="shared" si="0"/>
        <v>39750000</v>
      </c>
      <c r="D14" s="7">
        <v>5.33E-2</v>
      </c>
    </row>
    <row r="15" spans="1:4">
      <c r="A15" s="4">
        <v>7</v>
      </c>
      <c r="B15" s="3">
        <f t="shared" si="1"/>
        <v>30000000</v>
      </c>
      <c r="C15" s="3">
        <f t="shared" si="0"/>
        <v>40000000</v>
      </c>
      <c r="D15" s="7">
        <v>5.0099999999999999E-2</v>
      </c>
    </row>
    <row r="16" spans="1:4">
      <c r="A16" s="4">
        <v>8</v>
      </c>
      <c r="B16" s="3">
        <f t="shared" si="1"/>
        <v>30250000</v>
      </c>
      <c r="C16" s="3">
        <f t="shared" si="0"/>
        <v>40250000</v>
      </c>
      <c r="D16" s="7">
        <v>5.4600000000000003E-2</v>
      </c>
    </row>
    <row r="17" spans="1:4">
      <c r="A17" s="4">
        <v>9</v>
      </c>
      <c r="B17" s="3">
        <f t="shared" si="1"/>
        <v>30500000</v>
      </c>
      <c r="C17" s="3">
        <f t="shared" si="0"/>
        <v>40500000</v>
      </c>
      <c r="D17" s="7">
        <v>5.4600000000000003E-2</v>
      </c>
    </row>
    <row r="18" spans="1:4">
      <c r="A18" s="4">
        <v>10</v>
      </c>
      <c r="B18" s="3">
        <f t="shared" si="1"/>
        <v>30750000</v>
      </c>
      <c r="C18" s="3">
        <f t="shared" si="0"/>
        <v>40750000</v>
      </c>
      <c r="D18" s="7">
        <v>5.0700000000000002E-2</v>
      </c>
    </row>
    <row r="19" spans="1:4">
      <c r="A19" s="4">
        <v>11</v>
      </c>
      <c r="B19" s="3">
        <f t="shared" si="1"/>
        <v>31000000</v>
      </c>
      <c r="C19" s="3">
        <f t="shared" si="0"/>
        <v>41000000</v>
      </c>
      <c r="D19" s="7">
        <v>4.8800000000000003E-2</v>
      </c>
    </row>
    <row r="20" spans="1:4">
      <c r="A20" s="4">
        <v>12</v>
      </c>
      <c r="B20" s="3">
        <f t="shared" si="1"/>
        <v>31250000</v>
      </c>
      <c r="C20" s="3">
        <f t="shared" si="0"/>
        <v>41250000</v>
      </c>
      <c r="D20" s="7">
        <v>4.9700000000000001E-2</v>
      </c>
    </row>
    <row r="21" spans="1:4">
      <c r="A21" s="4">
        <v>13</v>
      </c>
      <c r="B21" s="3">
        <f t="shared" si="1"/>
        <v>31500000</v>
      </c>
      <c r="C21" s="3">
        <f t="shared" si="0"/>
        <v>41500000</v>
      </c>
      <c r="D21" s="7">
        <v>8.7599999999999997E-2</v>
      </c>
    </row>
    <row r="22" spans="1:4">
      <c r="A22" s="4">
        <v>14</v>
      </c>
      <c r="B22" s="3">
        <f t="shared" si="1"/>
        <v>31750000</v>
      </c>
      <c r="C22" s="3">
        <f t="shared" si="0"/>
        <v>41750000</v>
      </c>
      <c r="D22" s="7">
        <v>0.17030000000000001</v>
      </c>
    </row>
    <row r="23" spans="1:4">
      <c r="A23" s="4">
        <v>15</v>
      </c>
      <c r="B23" s="3">
        <f t="shared" si="1"/>
        <v>32000000</v>
      </c>
      <c r="C23" s="3">
        <f t="shared" si="0"/>
        <v>42000000</v>
      </c>
      <c r="D23" s="7">
        <v>0.12520000000000001</v>
      </c>
    </row>
    <row r="24" spans="1:4">
      <c r="A24" s="4">
        <v>16</v>
      </c>
      <c r="B24" s="3">
        <f t="shared" si="1"/>
        <v>32250000</v>
      </c>
      <c r="C24" s="3">
        <f t="shared" si="0"/>
        <v>42250000</v>
      </c>
      <c r="D24" s="7">
        <v>9.5699999999999993E-2</v>
      </c>
    </row>
    <row r="25" spans="1:4">
      <c r="A25" s="4">
        <v>17</v>
      </c>
      <c r="B25" s="3">
        <f t="shared" si="1"/>
        <v>32500000</v>
      </c>
      <c r="C25" s="3">
        <f t="shared" si="0"/>
        <v>42500000</v>
      </c>
      <c r="D25" s="7">
        <v>0.1842</v>
      </c>
    </row>
    <row r="26" spans="1:4">
      <c r="A26" s="4">
        <v>18</v>
      </c>
      <c r="B26" s="3">
        <f t="shared" si="1"/>
        <v>32750000</v>
      </c>
      <c r="C26" s="3">
        <f t="shared" si="0"/>
        <v>42750000</v>
      </c>
      <c r="D26" s="7">
        <v>6.7199999999999996E-2</v>
      </c>
    </row>
    <row r="27" spans="1:4">
      <c r="A27" s="4">
        <v>19</v>
      </c>
      <c r="B27" s="3">
        <f t="shared" si="1"/>
        <v>33000000</v>
      </c>
      <c r="C27" s="3">
        <f t="shared" si="0"/>
        <v>43000000</v>
      </c>
      <c r="D27" s="7">
        <v>8.2299999999999998E-2</v>
      </c>
    </row>
    <row r="28" spans="1:4">
      <c r="A28" s="4">
        <v>20</v>
      </c>
      <c r="B28" s="3">
        <f t="shared" si="1"/>
        <v>33250000</v>
      </c>
      <c r="C28" s="3">
        <f t="shared" si="0"/>
        <v>43250000</v>
      </c>
      <c r="D28" s="7">
        <v>0.12529999999999999</v>
      </c>
    </row>
    <row r="29" spans="1:4">
      <c r="A29" s="4">
        <v>21</v>
      </c>
      <c r="B29" s="3">
        <f t="shared" si="1"/>
        <v>33500000</v>
      </c>
      <c r="C29" s="3">
        <f t="shared" si="0"/>
        <v>43500000</v>
      </c>
      <c r="D29" s="7">
        <v>0.1071</v>
      </c>
    </row>
    <row r="30" spans="1:4">
      <c r="A30" s="4">
        <v>22</v>
      </c>
      <c r="B30" s="3">
        <f t="shared" si="1"/>
        <v>33750000</v>
      </c>
      <c r="C30" s="3">
        <f t="shared" si="0"/>
        <v>43750000</v>
      </c>
      <c r="D30" s="7">
        <v>0.16619999999999999</v>
      </c>
    </row>
    <row r="31" spans="1:4">
      <c r="A31" s="4">
        <v>23</v>
      </c>
      <c r="B31" s="3">
        <f t="shared" si="1"/>
        <v>34000000</v>
      </c>
      <c r="C31" s="3">
        <f t="shared" si="0"/>
        <v>44000000</v>
      </c>
      <c r="D31" s="7">
        <v>0.14829999999999999</v>
      </c>
    </row>
    <row r="32" spans="1:4">
      <c r="A32" s="4">
        <v>24</v>
      </c>
      <c r="B32" s="3">
        <f t="shared" si="1"/>
        <v>34250000</v>
      </c>
      <c r="C32" s="3">
        <f t="shared" si="0"/>
        <v>44250000</v>
      </c>
      <c r="D32" s="7">
        <v>0.24909999999999999</v>
      </c>
    </row>
    <row r="33" spans="1:6" ht="16.5" thickBot="1">
      <c r="A33" s="8">
        <v>25</v>
      </c>
      <c r="B33" s="9">
        <f t="shared" si="1"/>
        <v>34500000</v>
      </c>
      <c r="C33" s="9">
        <f t="shared" si="0"/>
        <v>44500000</v>
      </c>
      <c r="D33" s="10">
        <v>0.21690000000000001</v>
      </c>
    </row>
    <row r="35" spans="1:6">
      <c r="F35" s="3"/>
    </row>
  </sheetData>
  <phoneticPr fontId="4" type="noConversion"/>
  <pageMargins left="0.36" right="0.37" top="0.18" bottom="0.15" header="0" footer="0"/>
  <pageSetup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36"/>
  <sheetViews>
    <sheetView workbookViewId="0"/>
  </sheetViews>
  <sheetFormatPr baseColWidth="10" defaultRowHeight="15.75"/>
  <cols>
    <col min="1" max="1" width="7" style="4" customWidth="1"/>
    <col min="2" max="2" width="14" style="1" customWidth="1"/>
    <col min="3" max="3" width="15" style="1" customWidth="1"/>
    <col min="4" max="4" width="7.28515625" style="1" customWidth="1"/>
    <col min="5" max="5" width="12" style="1" customWidth="1"/>
    <col min="6" max="16384" width="11.42578125" style="1"/>
  </cols>
  <sheetData>
    <row r="1" spans="1:7">
      <c r="B1" s="5" t="s">
        <v>6</v>
      </c>
    </row>
    <row r="2" spans="1:7">
      <c r="A2" s="4" t="s">
        <v>38</v>
      </c>
      <c r="B2" s="1" t="s">
        <v>39</v>
      </c>
    </row>
    <row r="3" spans="1:7">
      <c r="B3" s="1" t="s">
        <v>40</v>
      </c>
    </row>
    <row r="4" spans="1:7">
      <c r="B4" s="1" t="s">
        <v>48</v>
      </c>
    </row>
    <row r="6" spans="1:7" ht="16.5" thickBot="1">
      <c r="A6" s="8" t="s">
        <v>3</v>
      </c>
      <c r="B6" s="11" t="s">
        <v>13</v>
      </c>
      <c r="C6" s="11" t="s">
        <v>16</v>
      </c>
      <c r="D6" s="2"/>
      <c r="F6" s="2"/>
      <c r="G6" s="2"/>
    </row>
    <row r="7" spans="1:7">
      <c r="A7" s="4">
        <v>1</v>
      </c>
      <c r="B7" s="3">
        <v>2303000</v>
      </c>
      <c r="C7" s="3">
        <v>48800000</v>
      </c>
      <c r="D7" s="7"/>
      <c r="E7" s="15"/>
    </row>
    <row r="8" spans="1:7">
      <c r="A8" s="4">
        <v>2</v>
      </c>
      <c r="B8" s="3">
        <v>2313000</v>
      </c>
      <c r="C8" s="3">
        <v>48900000</v>
      </c>
      <c r="D8" s="7"/>
      <c r="E8" s="15"/>
    </row>
    <row r="9" spans="1:7">
      <c r="A9" s="4">
        <v>3</v>
      </c>
      <c r="B9" s="3">
        <v>2323000</v>
      </c>
      <c r="C9" s="3">
        <v>49000000</v>
      </c>
      <c r="D9" s="7"/>
      <c r="E9" s="15"/>
    </row>
    <row r="10" spans="1:7">
      <c r="A10" s="4">
        <v>4</v>
      </c>
      <c r="B10" s="3">
        <v>2333000</v>
      </c>
      <c r="C10" s="3">
        <v>49100000</v>
      </c>
      <c r="D10" s="7"/>
      <c r="E10" s="15"/>
    </row>
    <row r="11" spans="1:7">
      <c r="A11" s="4">
        <v>5</v>
      </c>
      <c r="B11" s="3">
        <v>2343000</v>
      </c>
      <c r="C11" s="3">
        <v>49200000</v>
      </c>
      <c r="D11" s="7"/>
      <c r="E11" s="15"/>
    </row>
    <row r="12" spans="1:7">
      <c r="A12" s="4">
        <v>6</v>
      </c>
      <c r="B12" s="3">
        <v>2353000</v>
      </c>
      <c r="C12" s="3">
        <v>49300000</v>
      </c>
      <c r="D12" s="7"/>
      <c r="E12" s="15"/>
    </row>
    <row r="13" spans="1:7">
      <c r="A13" s="4">
        <v>7</v>
      </c>
      <c r="B13" s="3">
        <v>2363000</v>
      </c>
      <c r="C13" s="3">
        <v>49400000</v>
      </c>
      <c r="D13" s="7"/>
      <c r="E13" s="15"/>
    </row>
    <row r="14" spans="1:7">
      <c r="A14" s="4">
        <v>8</v>
      </c>
      <c r="B14" s="3">
        <v>2373000</v>
      </c>
      <c r="C14" s="3">
        <v>49500000</v>
      </c>
      <c r="D14" s="7"/>
      <c r="E14" s="15"/>
    </row>
    <row r="15" spans="1:7">
      <c r="A15" s="4">
        <v>9</v>
      </c>
      <c r="B15" s="3">
        <v>2383000</v>
      </c>
      <c r="C15" s="3">
        <v>49600000</v>
      </c>
      <c r="D15" s="7"/>
      <c r="E15" s="15"/>
    </row>
    <row r="16" spans="1:7">
      <c r="A16" s="4">
        <v>10</v>
      </c>
      <c r="B16" s="3">
        <v>2393000</v>
      </c>
      <c r="C16" s="3">
        <v>49700000</v>
      </c>
      <c r="D16" s="7"/>
      <c r="E16" s="15"/>
    </row>
    <row r="17" spans="1:5">
      <c r="A17" s="4">
        <v>11</v>
      </c>
      <c r="B17" s="3">
        <v>2403000</v>
      </c>
      <c r="C17" s="3">
        <v>49800000</v>
      </c>
      <c r="D17" s="7"/>
      <c r="E17" s="15"/>
    </row>
    <row r="18" spans="1:5">
      <c r="A18" s="4">
        <v>12</v>
      </c>
      <c r="B18" s="3">
        <v>2413000</v>
      </c>
      <c r="C18" s="3">
        <v>49900000</v>
      </c>
      <c r="D18" s="7"/>
      <c r="E18" s="15"/>
    </row>
    <row r="19" spans="1:5">
      <c r="A19" s="4">
        <v>13</v>
      </c>
      <c r="B19" s="3">
        <v>2423000</v>
      </c>
      <c r="C19" s="3">
        <v>50000000</v>
      </c>
      <c r="D19" s="7"/>
      <c r="E19" s="15"/>
    </row>
    <row r="20" spans="1:5">
      <c r="A20" s="4">
        <v>14</v>
      </c>
      <c r="B20" s="3">
        <v>2433000</v>
      </c>
      <c r="C20" s="3">
        <v>50100000</v>
      </c>
      <c r="D20" s="7"/>
      <c r="E20" s="15"/>
    </row>
    <row r="21" spans="1:5">
      <c r="A21" s="4">
        <v>15</v>
      </c>
      <c r="B21" s="3">
        <v>2443000</v>
      </c>
      <c r="C21" s="3">
        <v>50200000</v>
      </c>
      <c r="D21" s="7"/>
      <c r="E21" s="15"/>
    </row>
    <row r="22" spans="1:5">
      <c r="A22" s="4">
        <v>16</v>
      </c>
      <c r="B22" s="3">
        <v>2453000</v>
      </c>
      <c r="C22" s="3">
        <v>50300000</v>
      </c>
      <c r="D22" s="7"/>
      <c r="E22" s="15"/>
    </row>
    <row r="23" spans="1:5">
      <c r="A23" s="4">
        <v>17</v>
      </c>
      <c r="B23" s="3">
        <v>2463000</v>
      </c>
      <c r="C23" s="3">
        <v>50400000</v>
      </c>
      <c r="D23" s="7"/>
      <c r="E23" s="15"/>
    </row>
    <row r="24" spans="1:5">
      <c r="A24" s="4">
        <v>18</v>
      </c>
      <c r="B24" s="3">
        <v>2473000</v>
      </c>
      <c r="C24" s="3">
        <v>50500000</v>
      </c>
      <c r="D24" s="7"/>
      <c r="E24" s="15"/>
    </row>
    <row r="25" spans="1:5">
      <c r="A25" s="4">
        <v>19</v>
      </c>
      <c r="B25" s="3">
        <v>2483000</v>
      </c>
      <c r="C25" s="3">
        <v>50600000</v>
      </c>
      <c r="D25" s="7"/>
      <c r="E25" s="15"/>
    </row>
    <row r="26" spans="1:5">
      <c r="A26" s="4">
        <v>20</v>
      </c>
      <c r="B26" s="3">
        <v>2493000</v>
      </c>
      <c r="C26" s="3">
        <v>50700000</v>
      </c>
      <c r="D26" s="7"/>
      <c r="E26" s="15"/>
    </row>
    <row r="27" spans="1:5">
      <c r="A27" s="4">
        <v>21</v>
      </c>
      <c r="B27" s="3">
        <v>2503000</v>
      </c>
      <c r="C27" s="3">
        <v>50800000</v>
      </c>
      <c r="D27" s="7"/>
      <c r="E27" s="15"/>
    </row>
    <row r="28" spans="1:5">
      <c r="A28" s="4">
        <v>22</v>
      </c>
      <c r="B28" s="3">
        <v>2719000</v>
      </c>
      <c r="C28" s="3">
        <v>55800000.000000007</v>
      </c>
      <c r="E28" s="15"/>
    </row>
    <row r="29" spans="1:5">
      <c r="A29" s="4">
        <v>23</v>
      </c>
      <c r="B29" s="3">
        <v>2953000</v>
      </c>
      <c r="C29" s="3">
        <v>61300000.000000015</v>
      </c>
      <c r="E29" s="15"/>
    </row>
    <row r="30" spans="1:5">
      <c r="A30" s="4">
        <v>24</v>
      </c>
      <c r="B30" s="3">
        <v>3218000</v>
      </c>
      <c r="C30" s="3">
        <v>67350000.00000003</v>
      </c>
      <c r="E30" s="15"/>
    </row>
    <row r="31" spans="1:5" ht="16.5" thickBot="1">
      <c r="A31" s="8">
        <v>25</v>
      </c>
      <c r="B31" s="9">
        <v>3505456</v>
      </c>
      <c r="C31" s="9">
        <v>74005000.00000003</v>
      </c>
      <c r="E31" s="15"/>
    </row>
    <row r="32" spans="1:5">
      <c r="E32" s="14"/>
    </row>
    <row r="33" spans="5:6">
      <c r="E33" s="14"/>
    </row>
    <row r="34" spans="5:6">
      <c r="E34" s="14"/>
    </row>
    <row r="35" spans="5:6">
      <c r="E35" s="14"/>
    </row>
    <row r="36" spans="5:6">
      <c r="E36" s="14"/>
      <c r="F36" s="14"/>
    </row>
  </sheetData>
  <phoneticPr fontId="4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33"/>
  <sheetViews>
    <sheetView workbookViewId="0"/>
  </sheetViews>
  <sheetFormatPr baseColWidth="10" defaultRowHeight="15.75"/>
  <cols>
    <col min="1" max="1" width="7" style="4" customWidth="1"/>
    <col min="2" max="3" width="18.42578125" style="1" customWidth="1"/>
    <col min="4" max="5" width="13.5703125" style="1" customWidth="1"/>
    <col min="6" max="6" width="6.5703125" style="1" customWidth="1"/>
    <col min="7" max="10" width="14.7109375" style="1" customWidth="1"/>
    <col min="11" max="16384" width="11.42578125" style="1"/>
  </cols>
  <sheetData>
    <row r="1" spans="1:10">
      <c r="B1" s="5" t="s">
        <v>6</v>
      </c>
    </row>
    <row r="2" spans="1:10">
      <c r="A2" s="4" t="s">
        <v>41</v>
      </c>
      <c r="B2" s="1" t="s">
        <v>69</v>
      </c>
    </row>
    <row r="3" spans="1:10">
      <c r="B3" s="1" t="s">
        <v>66</v>
      </c>
    </row>
    <row r="4" spans="1:10">
      <c r="B4" s="1" t="s">
        <v>42</v>
      </c>
      <c r="J4" s="16"/>
    </row>
    <row r="5" spans="1:10">
      <c r="B5" s="1" t="s">
        <v>67</v>
      </c>
      <c r="J5" s="16"/>
    </row>
    <row r="6" spans="1:10">
      <c r="B6" s="1" t="s">
        <v>48</v>
      </c>
      <c r="J6" s="16"/>
    </row>
    <row r="8" spans="1:10" ht="16.5" thickBot="1">
      <c r="A8" s="8" t="s">
        <v>3</v>
      </c>
      <c r="B8" s="12" t="s">
        <v>43</v>
      </c>
      <c r="C8" s="12" t="s">
        <v>46</v>
      </c>
      <c r="D8" s="12" t="s">
        <v>44</v>
      </c>
      <c r="E8" s="12" t="s">
        <v>45</v>
      </c>
      <c r="F8" s="8"/>
    </row>
    <row r="9" spans="1:10">
      <c r="A9" s="4">
        <v>1</v>
      </c>
      <c r="B9" s="3">
        <v>3500000</v>
      </c>
      <c r="C9" s="3">
        <v>15500000</v>
      </c>
      <c r="D9" s="7">
        <v>6.3299999999999995E-2</v>
      </c>
      <c r="E9" s="7">
        <v>0.12089999999999999</v>
      </c>
      <c r="F9" s="4"/>
    </row>
    <row r="10" spans="1:10">
      <c r="A10" s="4">
        <v>2</v>
      </c>
      <c r="B10" s="3">
        <v>3750000</v>
      </c>
      <c r="C10" s="3">
        <v>15750000</v>
      </c>
      <c r="D10" s="7">
        <v>6.3500000000000001E-2</v>
      </c>
      <c r="E10" s="7">
        <v>0.1211</v>
      </c>
      <c r="F10" s="4"/>
    </row>
    <row r="11" spans="1:10">
      <c r="A11" s="4">
        <v>3</v>
      </c>
      <c r="B11" s="3">
        <v>4000000</v>
      </c>
      <c r="C11" s="3">
        <v>16000000</v>
      </c>
      <c r="D11" s="7">
        <v>6.3699999999999993E-2</v>
      </c>
      <c r="E11" s="7">
        <v>0.12130000000000001</v>
      </c>
      <c r="F11" s="4"/>
    </row>
    <row r="12" spans="1:10">
      <c r="A12" s="4">
        <v>4</v>
      </c>
      <c r="B12" s="3">
        <v>4250000</v>
      </c>
      <c r="C12" s="3">
        <v>16250000</v>
      </c>
      <c r="D12" s="7">
        <v>6.3899999999999998E-2</v>
      </c>
      <c r="E12" s="7">
        <v>0.12150000000000001</v>
      </c>
      <c r="F12" s="4"/>
    </row>
    <row r="13" spans="1:10">
      <c r="A13" s="4">
        <v>5</v>
      </c>
      <c r="B13" s="3">
        <v>4500000</v>
      </c>
      <c r="C13" s="3">
        <v>16500000</v>
      </c>
      <c r="D13" s="7">
        <v>6.409999999999999E-2</v>
      </c>
      <c r="E13" s="7">
        <v>0.12170000000000002</v>
      </c>
      <c r="F13" s="4"/>
    </row>
    <row r="14" spans="1:10">
      <c r="A14" s="4">
        <v>6</v>
      </c>
      <c r="B14" s="3">
        <v>4750000</v>
      </c>
      <c r="C14" s="3">
        <v>16750000</v>
      </c>
      <c r="D14" s="7">
        <v>6.4299999999999996E-2</v>
      </c>
      <c r="E14" s="7">
        <v>0.12190000000000002</v>
      </c>
      <c r="F14" s="4"/>
    </row>
    <row r="15" spans="1:10">
      <c r="A15" s="4">
        <v>7</v>
      </c>
      <c r="B15" s="3">
        <v>5000000</v>
      </c>
      <c r="C15" s="3">
        <v>17000000</v>
      </c>
      <c r="D15" s="7">
        <v>6.4499999999999988E-2</v>
      </c>
      <c r="E15" s="7">
        <v>0.12210000000000003</v>
      </c>
      <c r="F15" s="4"/>
    </row>
    <row r="16" spans="1:10">
      <c r="A16" s="4">
        <v>8</v>
      </c>
      <c r="B16" s="3">
        <v>5250000</v>
      </c>
      <c r="C16" s="3">
        <v>17250000</v>
      </c>
      <c r="D16" s="7">
        <v>6.4699999999999994E-2</v>
      </c>
      <c r="E16" s="7">
        <v>0.12230000000000003</v>
      </c>
      <c r="F16" s="4"/>
    </row>
    <row r="17" spans="1:6">
      <c r="A17" s="4">
        <v>9</v>
      </c>
      <c r="B17" s="3">
        <v>5500000</v>
      </c>
      <c r="C17" s="3">
        <v>17500000</v>
      </c>
      <c r="D17" s="7">
        <v>6.4899999999999999E-2</v>
      </c>
      <c r="E17" s="7">
        <v>0.12250000000000004</v>
      </c>
      <c r="F17" s="4"/>
    </row>
    <row r="18" spans="1:6">
      <c r="A18" s="4">
        <v>10</v>
      </c>
      <c r="B18" s="3">
        <v>5750000</v>
      </c>
      <c r="C18" s="3">
        <v>17750000</v>
      </c>
      <c r="D18" s="7">
        <v>6.5100000000000005E-2</v>
      </c>
      <c r="E18" s="7">
        <v>0.12270000000000005</v>
      </c>
      <c r="F18" s="4"/>
    </row>
    <row r="19" spans="1:6">
      <c r="A19" s="4">
        <v>11</v>
      </c>
      <c r="B19" s="3">
        <v>6000000</v>
      </c>
      <c r="C19" s="3">
        <v>18000000</v>
      </c>
      <c r="D19" s="7">
        <v>6.5300000000000011E-2</v>
      </c>
      <c r="E19" s="7">
        <v>0.12290000000000005</v>
      </c>
      <c r="F19" s="4"/>
    </row>
    <row r="20" spans="1:6">
      <c r="A20" s="4">
        <v>12</v>
      </c>
      <c r="B20" s="3">
        <v>6250000</v>
      </c>
      <c r="C20" s="3">
        <v>18250000</v>
      </c>
      <c r="D20" s="7">
        <v>6.5500000000000017E-2</v>
      </c>
      <c r="E20" s="7">
        <v>0.12310000000000006</v>
      </c>
      <c r="F20" s="4"/>
    </row>
    <row r="21" spans="1:6">
      <c r="A21" s="4">
        <v>13</v>
      </c>
      <c r="B21" s="3">
        <v>6500000</v>
      </c>
      <c r="C21" s="3">
        <v>18500000</v>
      </c>
      <c r="D21" s="7">
        <v>6.5700000000000022E-2</v>
      </c>
      <c r="E21" s="7">
        <v>0.12330000000000006</v>
      </c>
    </row>
    <row r="22" spans="1:6">
      <c r="A22" s="4">
        <v>14</v>
      </c>
      <c r="B22" s="3">
        <v>6750000</v>
      </c>
      <c r="C22" s="3">
        <v>18750000</v>
      </c>
      <c r="D22" s="7">
        <v>6.5900000000000028E-2</v>
      </c>
      <c r="E22" s="7">
        <v>0.12350000000000007</v>
      </c>
    </row>
    <row r="23" spans="1:6">
      <c r="A23" s="4">
        <v>15</v>
      </c>
      <c r="B23" s="3">
        <v>7000000</v>
      </c>
      <c r="C23" s="3">
        <v>19000000</v>
      </c>
      <c r="D23" s="7">
        <v>6.6100000000000034E-2</v>
      </c>
      <c r="E23" s="7">
        <v>0.12370000000000007</v>
      </c>
    </row>
    <row r="24" spans="1:6">
      <c r="A24" s="4">
        <v>16</v>
      </c>
      <c r="B24" s="3">
        <v>7250000</v>
      </c>
      <c r="C24" s="3">
        <v>19250000</v>
      </c>
      <c r="D24" s="7">
        <v>6.6300000000000039E-2</v>
      </c>
      <c r="E24" s="7">
        <v>0.12390000000000009</v>
      </c>
    </row>
    <row r="25" spans="1:6">
      <c r="A25" s="4">
        <v>17</v>
      </c>
      <c r="B25" s="3">
        <v>7500000</v>
      </c>
      <c r="C25" s="3">
        <v>19500000</v>
      </c>
      <c r="D25" s="7">
        <v>6.6500000000000045E-2</v>
      </c>
      <c r="E25" s="7">
        <v>0.1241000000000001</v>
      </c>
    </row>
    <row r="26" spans="1:6">
      <c r="A26" s="4">
        <v>18</v>
      </c>
      <c r="B26" s="3">
        <v>7750000</v>
      </c>
      <c r="C26" s="3">
        <v>19750000</v>
      </c>
      <c r="D26" s="7">
        <v>6.6700000000000051E-2</v>
      </c>
      <c r="E26" s="7">
        <v>0.1243000000000001</v>
      </c>
    </row>
    <row r="27" spans="1:6">
      <c r="A27" s="4">
        <v>19</v>
      </c>
      <c r="B27" s="3">
        <v>8000000</v>
      </c>
      <c r="C27" s="3">
        <v>20000000</v>
      </c>
      <c r="D27" s="7">
        <v>6.6900000000000057E-2</v>
      </c>
      <c r="E27" s="7">
        <v>0.12450000000000011</v>
      </c>
    </row>
    <row r="28" spans="1:6">
      <c r="A28" s="4">
        <v>20</v>
      </c>
      <c r="B28" s="3">
        <v>8250000</v>
      </c>
      <c r="C28" s="3">
        <v>20250000</v>
      </c>
      <c r="D28" s="7">
        <v>6.7100000000000062E-2</v>
      </c>
      <c r="E28" s="7">
        <v>0.12470000000000001</v>
      </c>
    </row>
    <row r="29" spans="1:6">
      <c r="A29" s="4">
        <v>21</v>
      </c>
      <c r="B29" s="3">
        <v>8500000</v>
      </c>
      <c r="C29" s="3">
        <v>20500000</v>
      </c>
      <c r="D29" s="7">
        <v>6.7300000000000068E-2</v>
      </c>
      <c r="E29" s="7">
        <v>0.12490000000000012</v>
      </c>
    </row>
    <row r="30" spans="1:6">
      <c r="A30" s="4">
        <v>22</v>
      </c>
      <c r="B30" s="3">
        <v>8750000</v>
      </c>
      <c r="C30" s="3">
        <v>20750000</v>
      </c>
      <c r="D30" s="7">
        <v>6.7500000000000074E-2</v>
      </c>
      <c r="E30" s="7">
        <v>0.12510000000000013</v>
      </c>
    </row>
    <row r="31" spans="1:6">
      <c r="A31" s="4">
        <v>23</v>
      </c>
      <c r="B31" s="3">
        <v>9000000</v>
      </c>
      <c r="C31" s="3">
        <v>21000000</v>
      </c>
      <c r="D31" s="7">
        <v>6.770000000000008E-2</v>
      </c>
      <c r="E31" s="7">
        <v>0.12530000000000013</v>
      </c>
    </row>
    <row r="32" spans="1:6">
      <c r="A32" s="4">
        <v>24</v>
      </c>
      <c r="B32" s="3">
        <v>9250000</v>
      </c>
      <c r="C32" s="3">
        <v>21250000</v>
      </c>
      <c r="D32" s="7">
        <v>6.7900000000000085E-2</v>
      </c>
      <c r="E32" s="7">
        <v>0.12550000000000014</v>
      </c>
    </row>
    <row r="33" spans="1:5" ht="16.5" thickBot="1">
      <c r="A33" s="8">
        <v>25</v>
      </c>
      <c r="B33" s="9">
        <v>9500000</v>
      </c>
      <c r="C33" s="9">
        <v>21500000</v>
      </c>
      <c r="D33" s="10">
        <v>6.8100000000000091E-2</v>
      </c>
      <c r="E33" s="10">
        <v>0.12570000000000014</v>
      </c>
    </row>
  </sheetData>
  <phoneticPr fontId="4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5"/>
  <sheetViews>
    <sheetView workbookViewId="0"/>
  </sheetViews>
  <sheetFormatPr baseColWidth="10" defaultRowHeight="15.75"/>
  <cols>
    <col min="1" max="1" width="8.140625" style="55" customWidth="1"/>
    <col min="2" max="2" width="11.42578125" style="57"/>
    <col min="3" max="3" width="11.5703125" style="57" customWidth="1"/>
    <col min="4" max="4" width="11.140625" style="57" customWidth="1"/>
    <col min="5" max="5" width="15" style="57" customWidth="1"/>
    <col min="6" max="6" width="16" style="58" customWidth="1"/>
    <col min="7" max="7" width="15.28515625" style="57" customWidth="1"/>
    <col min="8" max="8" width="16" style="57" customWidth="1"/>
    <col min="9" max="10" width="16.42578125" style="57" customWidth="1"/>
    <col min="11" max="11" width="13.7109375" style="57" customWidth="1"/>
    <col min="12" max="16384" width="11.42578125" style="57"/>
  </cols>
  <sheetData>
    <row r="1" spans="1:16">
      <c r="B1" s="56" t="s">
        <v>6</v>
      </c>
      <c r="I1" s="59"/>
      <c r="J1" s="59"/>
    </row>
    <row r="2" spans="1:16">
      <c r="A2" s="55" t="s">
        <v>2</v>
      </c>
      <c r="B2" s="57" t="s">
        <v>5</v>
      </c>
      <c r="I2" s="59"/>
      <c r="J2" s="59"/>
    </row>
    <row r="3" spans="1:16" ht="18.75">
      <c r="B3" s="57" t="s">
        <v>104</v>
      </c>
    </row>
    <row r="4" spans="1:16" ht="18.75">
      <c r="B4" s="57" t="s">
        <v>105</v>
      </c>
      <c r="H4" s="60"/>
      <c r="I4" s="61"/>
      <c r="J4" s="30"/>
      <c r="K4" s="30"/>
      <c r="L4" s="30"/>
    </row>
    <row r="5" spans="1:16">
      <c r="B5" s="57" t="s">
        <v>4</v>
      </c>
      <c r="H5" s="37"/>
      <c r="I5" s="61"/>
      <c r="J5" s="30"/>
      <c r="K5" s="30"/>
      <c r="L5" s="30"/>
    </row>
    <row r="6" spans="1:16">
      <c r="B6" s="57" t="s">
        <v>50</v>
      </c>
      <c r="I6" s="62"/>
      <c r="K6" s="63"/>
    </row>
    <row r="8" spans="1:16" ht="21" thickBot="1">
      <c r="A8" s="64" t="s">
        <v>3</v>
      </c>
      <c r="B8" s="65" t="s">
        <v>0</v>
      </c>
      <c r="C8" s="66" t="s">
        <v>51</v>
      </c>
      <c r="D8" s="66" t="s">
        <v>52</v>
      </c>
      <c r="E8" s="67" t="s">
        <v>116</v>
      </c>
      <c r="F8" s="68" t="s">
        <v>117</v>
      </c>
      <c r="G8" s="66" t="s">
        <v>118</v>
      </c>
      <c r="H8" s="67" t="s">
        <v>116</v>
      </c>
      <c r="I8" s="68" t="s">
        <v>119</v>
      </c>
      <c r="J8" s="66" t="s">
        <v>120</v>
      </c>
      <c r="K8" s="67" t="s">
        <v>116</v>
      </c>
      <c r="L8" s="68" t="s">
        <v>121</v>
      </c>
      <c r="M8" s="66" t="s">
        <v>122</v>
      </c>
      <c r="N8" s="67" t="s">
        <v>116</v>
      </c>
      <c r="O8" s="68" t="s">
        <v>123</v>
      </c>
      <c r="P8" s="66" t="s">
        <v>124</v>
      </c>
    </row>
    <row r="9" spans="1:16">
      <c r="A9" s="55">
        <v>1</v>
      </c>
      <c r="B9" s="69">
        <v>1000</v>
      </c>
      <c r="C9" s="58">
        <v>0.02</v>
      </c>
      <c r="D9" s="58">
        <v>1.7500000000000002E-2</v>
      </c>
      <c r="E9" s="70">
        <f>$B9/$C9</f>
        <v>50000</v>
      </c>
      <c r="F9" s="57">
        <f>1-1/POWER(1+$C9,10)</f>
        <v>0.17965170012484466</v>
      </c>
      <c r="G9" s="71">
        <f>ROUND(E9*F9,0)</f>
        <v>8983</v>
      </c>
      <c r="H9" s="70">
        <f t="shared" ref="H9:H33" si="0">$B9/$C9</f>
        <v>50000</v>
      </c>
      <c r="I9" s="57">
        <f t="shared" ref="I9:I33" si="1">1-1/POWER(1+$C9,20)</f>
        <v>0.32702866689194221</v>
      </c>
      <c r="J9" s="71">
        <f>ROUND(H9*I9,0)</f>
        <v>16351</v>
      </c>
      <c r="K9" s="70">
        <f t="shared" ref="K9:K33" si="2">$B9/$D9</f>
        <v>57142.857142857138</v>
      </c>
      <c r="L9" s="57">
        <f t="shared" ref="L9:L33" si="3">1-1/POWER(1+$D9,4)</f>
        <v>6.7041494442270144E-2</v>
      </c>
      <c r="M9" s="71">
        <f>ROUND(K9*L9,0)</f>
        <v>3831</v>
      </c>
      <c r="N9" s="70">
        <f t="shared" ref="N9:N33" si="4">$B9/$D9</f>
        <v>57142.857142857138</v>
      </c>
      <c r="O9" s="57">
        <f t="shared" ref="O9:O33" si="5">1-1/POWER(1+$D9,16)</f>
        <v>0.2423836934266177</v>
      </c>
      <c r="P9" s="71">
        <f>ROUND(N9*O9,0)</f>
        <v>13850</v>
      </c>
    </row>
    <row r="10" spans="1:16">
      <c r="A10" s="55">
        <v>2</v>
      </c>
      <c r="B10" s="69">
        <v>2000</v>
      </c>
      <c r="C10" s="58">
        <v>2.5000000000000001E-2</v>
      </c>
      <c r="D10" s="58">
        <v>2.2500000000000003E-2</v>
      </c>
      <c r="E10" s="70">
        <f>$B10/$C10</f>
        <v>80000</v>
      </c>
      <c r="F10" s="57">
        <f>1-1/POWER(1+$C10,10)</f>
        <v>0.21880159827427292</v>
      </c>
      <c r="G10" s="71">
        <f>ROUND(E10*F10,0)</f>
        <v>17504</v>
      </c>
      <c r="H10" s="70">
        <f t="shared" si="0"/>
        <v>80000</v>
      </c>
      <c r="I10" s="57">
        <f t="shared" si="1"/>
        <v>0.38972905714116968</v>
      </c>
      <c r="J10" s="71">
        <f>ROUND(H10*I10,0)</f>
        <v>31178</v>
      </c>
      <c r="K10" s="70">
        <f t="shared" si="2"/>
        <v>88888.888888888876</v>
      </c>
      <c r="L10" s="57">
        <f t="shared" si="3"/>
        <v>8.5156654748131833E-2</v>
      </c>
      <c r="M10" s="71">
        <f>ROUND(K10*L10,0)</f>
        <v>7569</v>
      </c>
      <c r="N10" s="70">
        <f t="shared" si="4"/>
        <v>88888.888888888876</v>
      </c>
      <c r="O10" s="57">
        <f t="shared" si="5"/>
        <v>0.29953420440620071</v>
      </c>
      <c r="P10" s="71">
        <f>ROUND(N10*O10,0)</f>
        <v>26625</v>
      </c>
    </row>
    <row r="11" spans="1:16">
      <c r="A11" s="55">
        <v>3</v>
      </c>
      <c r="B11" s="69">
        <v>3000</v>
      </c>
      <c r="C11" s="58">
        <v>3.0000000000000002E-2</v>
      </c>
      <c r="D11" s="58">
        <v>2.7500000000000004E-2</v>
      </c>
      <c r="E11" s="70">
        <f t="shared" ref="E11:E33" si="6">$B11/$C11</f>
        <v>99999.999999999985</v>
      </c>
      <c r="F11" s="57">
        <f t="shared" ref="F11:F33" si="7">1-1/POWER(1+$C11,10)</f>
        <v>0.25590608510327484</v>
      </c>
      <c r="G11" s="71">
        <f t="shared" ref="G11:G33" si="8">ROUND(E11*F11,0)</f>
        <v>25591</v>
      </c>
      <c r="H11" s="70">
        <f t="shared" si="0"/>
        <v>99999.999999999985</v>
      </c>
      <c r="I11" s="57">
        <f t="shared" si="1"/>
        <v>0.44632424581366503</v>
      </c>
      <c r="J11" s="71">
        <f t="shared" ref="J11:J33" si="9">ROUND(H11*I11,0)</f>
        <v>44632</v>
      </c>
      <c r="K11" s="70">
        <f t="shared" si="2"/>
        <v>109090.90909090907</v>
      </c>
      <c r="L11" s="57">
        <f t="shared" si="3"/>
        <v>0.10283426629985259</v>
      </c>
      <c r="M11" s="71">
        <f t="shared" ref="M11:M33" si="10">ROUND(K11*L11,0)</f>
        <v>11218</v>
      </c>
      <c r="N11" s="70">
        <f t="shared" si="4"/>
        <v>109090.90909090907</v>
      </c>
      <c r="O11" s="57">
        <f t="shared" si="5"/>
        <v>0.35212576173195975</v>
      </c>
      <c r="P11" s="71">
        <f t="shared" ref="P11:P33" si="11">ROUND(N11*O11,0)</f>
        <v>38414</v>
      </c>
    </row>
    <row r="12" spans="1:16">
      <c r="A12" s="55">
        <v>4</v>
      </c>
      <c r="B12" s="69">
        <v>4000</v>
      </c>
      <c r="C12" s="58">
        <v>3.5000000000000003E-2</v>
      </c>
      <c r="D12" s="58">
        <v>3.2500000000000001E-2</v>
      </c>
      <c r="E12" s="70">
        <f t="shared" si="6"/>
        <v>114285.71428571428</v>
      </c>
      <c r="F12" s="57">
        <f t="shared" si="7"/>
        <v>0.29108118629022783</v>
      </c>
      <c r="G12" s="71">
        <f t="shared" si="8"/>
        <v>33266</v>
      </c>
      <c r="H12" s="70">
        <f t="shared" si="0"/>
        <v>114285.71428571428</v>
      </c>
      <c r="I12" s="57">
        <f t="shared" si="1"/>
        <v>0.49743411556832939</v>
      </c>
      <c r="J12" s="71">
        <f t="shared" si="9"/>
        <v>56850</v>
      </c>
      <c r="K12" s="70">
        <f t="shared" si="2"/>
        <v>123076.92307692308</v>
      </c>
      <c r="L12" s="57">
        <f t="shared" si="3"/>
        <v>0.12008695017811288</v>
      </c>
      <c r="M12" s="71">
        <f t="shared" si="10"/>
        <v>14780</v>
      </c>
      <c r="N12" s="70">
        <f t="shared" si="4"/>
        <v>123076.92307692308</v>
      </c>
      <c r="O12" s="57">
        <f t="shared" si="5"/>
        <v>0.40054162132109639</v>
      </c>
      <c r="P12" s="71">
        <f t="shared" si="11"/>
        <v>49297</v>
      </c>
    </row>
    <row r="13" spans="1:16">
      <c r="A13" s="55">
        <v>5</v>
      </c>
      <c r="B13" s="69">
        <v>5000</v>
      </c>
      <c r="C13" s="58">
        <v>0.04</v>
      </c>
      <c r="D13" s="58">
        <v>3.7499999999999999E-2</v>
      </c>
      <c r="E13" s="70">
        <f t="shared" si="6"/>
        <v>125000</v>
      </c>
      <c r="F13" s="57">
        <f t="shared" si="7"/>
        <v>0.32443583117420149</v>
      </c>
      <c r="G13" s="71">
        <f t="shared" si="8"/>
        <v>40554</v>
      </c>
      <c r="H13" s="70">
        <f t="shared" si="0"/>
        <v>125000</v>
      </c>
      <c r="I13" s="57">
        <f t="shared" si="1"/>
        <v>0.54361305379870795</v>
      </c>
      <c r="J13" s="71">
        <f t="shared" si="9"/>
        <v>67952</v>
      </c>
      <c r="K13" s="70">
        <f t="shared" si="2"/>
        <v>133333.33333333334</v>
      </c>
      <c r="L13" s="57">
        <f t="shared" si="3"/>
        <v>0.13692690476765956</v>
      </c>
      <c r="M13" s="71">
        <f t="shared" si="10"/>
        <v>18257</v>
      </c>
      <c r="N13" s="70">
        <f t="shared" si="4"/>
        <v>133333.33333333334</v>
      </c>
      <c r="O13" s="57">
        <f t="shared" si="5"/>
        <v>0.44513118911643235</v>
      </c>
      <c r="P13" s="71">
        <f t="shared" si="11"/>
        <v>59351</v>
      </c>
    </row>
    <row r="14" spans="1:16">
      <c r="A14" s="55">
        <v>6</v>
      </c>
      <c r="B14" s="69">
        <v>6000</v>
      </c>
      <c r="C14" s="58">
        <v>4.4999999999999998E-2</v>
      </c>
      <c r="D14" s="58">
        <v>4.2499999999999996E-2</v>
      </c>
      <c r="E14" s="70">
        <f t="shared" si="6"/>
        <v>133333.33333333334</v>
      </c>
      <c r="F14" s="57">
        <f t="shared" si="7"/>
        <v>0.35607231796995675</v>
      </c>
      <c r="G14" s="71">
        <f t="shared" si="8"/>
        <v>47476</v>
      </c>
      <c r="H14" s="70">
        <f t="shared" si="0"/>
        <v>133333.33333333334</v>
      </c>
      <c r="I14" s="57">
        <f t="shared" si="1"/>
        <v>0.58535714031541541</v>
      </c>
      <c r="J14" s="71">
        <f t="shared" si="9"/>
        <v>78048</v>
      </c>
      <c r="K14" s="70">
        <f t="shared" si="2"/>
        <v>141176.4705882353</v>
      </c>
      <c r="L14" s="57">
        <f t="shared" si="3"/>
        <v>0.15336592185916398</v>
      </c>
      <c r="M14" s="71">
        <f t="shared" si="10"/>
        <v>21652</v>
      </c>
      <c r="N14" s="70">
        <f t="shared" si="4"/>
        <v>141176.4705882353</v>
      </c>
      <c r="O14" s="57">
        <f t="shared" si="5"/>
        <v>0.48621315349531347</v>
      </c>
      <c r="P14" s="71">
        <f t="shared" si="11"/>
        <v>68642</v>
      </c>
    </row>
    <row r="15" spans="1:16">
      <c r="A15" s="55">
        <v>7</v>
      </c>
      <c r="B15" s="69">
        <v>7000</v>
      </c>
      <c r="C15" s="58">
        <v>4.9999999999999996E-2</v>
      </c>
      <c r="D15" s="58">
        <v>4.7499999999999994E-2</v>
      </c>
      <c r="E15" s="70">
        <f t="shared" si="6"/>
        <v>140000</v>
      </c>
      <c r="F15" s="57">
        <f t="shared" si="7"/>
        <v>0.38608674645924068</v>
      </c>
      <c r="G15" s="71">
        <f t="shared" si="8"/>
        <v>54052</v>
      </c>
      <c r="H15" s="70">
        <f t="shared" si="0"/>
        <v>140000</v>
      </c>
      <c r="I15" s="57">
        <f t="shared" si="1"/>
        <v>0.62311051712699939</v>
      </c>
      <c r="J15" s="71">
        <f t="shared" si="9"/>
        <v>87235</v>
      </c>
      <c r="K15" s="70">
        <f t="shared" si="2"/>
        <v>147368.4210526316</v>
      </c>
      <c r="L15" s="57">
        <f t="shared" si="3"/>
        <v>0.16941540206432415</v>
      </c>
      <c r="M15" s="71">
        <f t="shared" si="10"/>
        <v>24966</v>
      </c>
      <c r="N15" s="70">
        <f t="shared" si="4"/>
        <v>147368.4210526316</v>
      </c>
      <c r="O15" s="57">
        <f t="shared" si="5"/>
        <v>0.52407831472812949</v>
      </c>
      <c r="P15" s="71">
        <f t="shared" si="11"/>
        <v>77233</v>
      </c>
    </row>
    <row r="16" spans="1:16">
      <c r="A16" s="55">
        <v>8</v>
      </c>
      <c r="B16" s="69">
        <v>8000</v>
      </c>
      <c r="C16" s="58">
        <v>5.4999999999999993E-2</v>
      </c>
      <c r="D16" s="58">
        <v>5.2499999999999991E-2</v>
      </c>
      <c r="E16" s="70">
        <f t="shared" si="6"/>
        <v>145454.54545454547</v>
      </c>
      <c r="F16" s="57">
        <f t="shared" si="7"/>
        <v>0.41456942057239288</v>
      </c>
      <c r="G16" s="71">
        <f t="shared" si="8"/>
        <v>60301</v>
      </c>
      <c r="H16" s="70">
        <f t="shared" si="0"/>
        <v>145454.54545454547</v>
      </c>
      <c r="I16" s="57">
        <f t="shared" si="1"/>
        <v>0.65727103667105613</v>
      </c>
      <c r="J16" s="71">
        <f t="shared" si="9"/>
        <v>95603</v>
      </c>
      <c r="K16" s="70">
        <f t="shared" si="2"/>
        <v>152380.9523809524</v>
      </c>
      <c r="L16" s="57">
        <f t="shared" si="3"/>
        <v>0.18508636957657476</v>
      </c>
      <c r="M16" s="71">
        <f t="shared" si="10"/>
        <v>28204</v>
      </c>
      <c r="N16" s="70">
        <f t="shared" si="4"/>
        <v>152380.9523809524</v>
      </c>
      <c r="O16" s="57">
        <f t="shared" si="5"/>
        <v>0.55899214203989123</v>
      </c>
      <c r="P16" s="71">
        <f t="shared" si="11"/>
        <v>85180</v>
      </c>
    </row>
    <row r="17" spans="1:16">
      <c r="A17" s="55">
        <v>9</v>
      </c>
      <c r="B17" s="69">
        <v>9000</v>
      </c>
      <c r="C17" s="58">
        <v>5.9999999999999991E-2</v>
      </c>
      <c r="D17" s="58">
        <v>5.7499999999999989E-2</v>
      </c>
      <c r="E17" s="70">
        <f t="shared" si="6"/>
        <v>150000.00000000003</v>
      </c>
      <c r="F17" s="57">
        <f t="shared" si="7"/>
        <v>0.44160522308488215</v>
      </c>
      <c r="G17" s="71">
        <f t="shared" si="8"/>
        <v>66241</v>
      </c>
      <c r="H17" s="70">
        <f t="shared" si="0"/>
        <v>150000.00000000003</v>
      </c>
      <c r="I17" s="57">
        <f t="shared" si="1"/>
        <v>0.68819527311391571</v>
      </c>
      <c r="J17" s="71">
        <f t="shared" si="9"/>
        <v>103229</v>
      </c>
      <c r="K17" s="70">
        <f t="shared" si="2"/>
        <v>156521.73913043481</v>
      </c>
      <c r="L17" s="57">
        <f t="shared" si="3"/>
        <v>0.20038948630815434</v>
      </c>
      <c r="M17" s="71">
        <f t="shared" si="10"/>
        <v>31365</v>
      </c>
      <c r="N17" s="70">
        <f t="shared" si="4"/>
        <v>156521.73913043481</v>
      </c>
      <c r="O17" s="57">
        <f t="shared" si="5"/>
        <v>0.59119708562174544</v>
      </c>
      <c r="P17" s="71">
        <f t="shared" si="11"/>
        <v>92535</v>
      </c>
    </row>
    <row r="18" spans="1:16">
      <c r="A18" s="55">
        <v>10</v>
      </c>
      <c r="B18" s="69">
        <v>10000</v>
      </c>
      <c r="C18" s="58">
        <v>6.4999999999999988E-2</v>
      </c>
      <c r="D18" s="58">
        <v>6.2499999999999986E-2</v>
      </c>
      <c r="E18" s="70">
        <f t="shared" si="6"/>
        <v>153846.15384615387</v>
      </c>
      <c r="F18" s="57">
        <f t="shared" si="7"/>
        <v>0.46727396447947112</v>
      </c>
      <c r="G18" s="71">
        <f t="shared" si="8"/>
        <v>71888</v>
      </c>
      <c r="H18" s="70">
        <f t="shared" si="0"/>
        <v>153846.15384615387</v>
      </c>
      <c r="I18" s="57">
        <f t="shared" si="1"/>
        <v>0.71620297107858011</v>
      </c>
      <c r="J18" s="71">
        <f t="shared" si="9"/>
        <v>110185</v>
      </c>
      <c r="K18" s="70">
        <f t="shared" si="2"/>
        <v>160000.00000000003</v>
      </c>
      <c r="L18" s="57">
        <f t="shared" si="3"/>
        <v>0.21533506543264569</v>
      </c>
      <c r="M18" s="71">
        <f t="shared" si="10"/>
        <v>34454</v>
      </c>
      <c r="N18" s="70">
        <f t="shared" si="4"/>
        <v>160000.00000000003</v>
      </c>
      <c r="O18" s="57">
        <f t="shared" si="5"/>
        <v>0.62091466808206386</v>
      </c>
      <c r="P18" s="71">
        <f t="shared" si="11"/>
        <v>99346</v>
      </c>
    </row>
    <row r="19" spans="1:16">
      <c r="A19" s="55">
        <v>11</v>
      </c>
      <c r="B19" s="69">
        <v>11000</v>
      </c>
      <c r="C19" s="58">
        <v>6.9999999999999993E-2</v>
      </c>
      <c r="D19" s="58">
        <v>6.7499999999999991E-2</v>
      </c>
      <c r="E19" s="70">
        <f t="shared" si="6"/>
        <v>157142.85714285716</v>
      </c>
      <c r="F19" s="57">
        <f t="shared" si="7"/>
        <v>0.4916507078652822</v>
      </c>
      <c r="G19" s="71">
        <f t="shared" si="8"/>
        <v>77259</v>
      </c>
      <c r="H19" s="70">
        <f t="shared" si="0"/>
        <v>157142.85714285716</v>
      </c>
      <c r="I19" s="57">
        <f t="shared" si="1"/>
        <v>0.74158099718613135</v>
      </c>
      <c r="J19" s="71">
        <f t="shared" si="9"/>
        <v>116534</v>
      </c>
      <c r="K19" s="70">
        <f t="shared" si="2"/>
        <v>162962.96296296298</v>
      </c>
      <c r="L19" s="57">
        <f t="shared" si="3"/>
        <v>0.22993308436065429</v>
      </c>
      <c r="M19" s="71">
        <f t="shared" si="10"/>
        <v>37471</v>
      </c>
      <c r="N19" s="70">
        <f t="shared" si="4"/>
        <v>162962.96296296298</v>
      </c>
      <c r="O19" s="57">
        <f t="shared" si="5"/>
        <v>0.64834737727978753</v>
      </c>
      <c r="P19" s="71">
        <f t="shared" si="11"/>
        <v>105657</v>
      </c>
    </row>
    <row r="20" spans="1:16">
      <c r="A20" s="55">
        <v>12</v>
      </c>
      <c r="B20" s="69">
        <v>12000</v>
      </c>
      <c r="C20" s="58">
        <v>7.4999999999999997E-2</v>
      </c>
      <c r="D20" s="58">
        <v>7.2499999999999995E-2</v>
      </c>
      <c r="E20" s="70">
        <f t="shared" si="6"/>
        <v>160000</v>
      </c>
      <c r="F20" s="57">
        <f t="shared" si="7"/>
        <v>0.51480607169853565</v>
      </c>
      <c r="G20" s="71">
        <f t="shared" si="8"/>
        <v>82369</v>
      </c>
      <c r="H20" s="70">
        <f t="shared" si="0"/>
        <v>160000</v>
      </c>
      <c r="I20" s="57">
        <f t="shared" si="1"/>
        <v>0.76458685193939346</v>
      </c>
      <c r="J20" s="71">
        <f t="shared" si="9"/>
        <v>122334</v>
      </c>
      <c r="K20" s="70">
        <f t="shared" si="2"/>
        <v>165517.24137931035</v>
      </c>
      <c r="L20" s="57">
        <f t="shared" si="3"/>
        <v>0.24419319717486598</v>
      </c>
      <c r="M20" s="71">
        <f t="shared" si="10"/>
        <v>40418</v>
      </c>
      <c r="N20" s="70">
        <f t="shared" si="4"/>
        <v>165517.24137931035</v>
      </c>
      <c r="O20" s="57">
        <f t="shared" si="5"/>
        <v>0.67368038021078436</v>
      </c>
      <c r="P20" s="71">
        <f t="shared" si="11"/>
        <v>111506</v>
      </c>
    </row>
    <row r="21" spans="1:16">
      <c r="A21" s="55">
        <v>13</v>
      </c>
      <c r="B21" s="69">
        <v>13000</v>
      </c>
      <c r="C21" s="58">
        <v>0.08</v>
      </c>
      <c r="D21" s="58">
        <v>7.7499999999999999E-2</v>
      </c>
      <c r="E21" s="70">
        <f t="shared" si="6"/>
        <v>162500</v>
      </c>
      <c r="F21" s="57">
        <f t="shared" si="7"/>
        <v>0.53680651191531581</v>
      </c>
      <c r="G21" s="71">
        <f t="shared" si="8"/>
        <v>87231</v>
      </c>
      <c r="H21" s="70">
        <f t="shared" si="0"/>
        <v>162500</v>
      </c>
      <c r="I21" s="57">
        <f t="shared" si="1"/>
        <v>0.78545179259594344</v>
      </c>
      <c r="J21" s="71">
        <f t="shared" si="9"/>
        <v>127636</v>
      </c>
      <c r="K21" s="70">
        <f t="shared" si="2"/>
        <v>167741.93548387097</v>
      </c>
      <c r="L21" s="57">
        <f t="shared" si="3"/>
        <v>0.25812474654938589</v>
      </c>
      <c r="M21" s="71">
        <f t="shared" si="10"/>
        <v>43298</v>
      </c>
      <c r="N21" s="70">
        <f t="shared" si="4"/>
        <v>167741.93548387097</v>
      </c>
      <c r="O21" s="57">
        <f t="shared" si="5"/>
        <v>0.69708307559043892</v>
      </c>
      <c r="P21" s="71">
        <f t="shared" si="11"/>
        <v>116930</v>
      </c>
    </row>
    <row r="22" spans="1:16">
      <c r="A22" s="55">
        <v>14</v>
      </c>
      <c r="B22" s="69">
        <v>14000</v>
      </c>
      <c r="C22" s="58">
        <v>8.2500000000000004E-2</v>
      </c>
      <c r="D22" s="58">
        <v>0.08</v>
      </c>
      <c r="E22" s="70">
        <f t="shared" si="6"/>
        <v>169696.9696969697</v>
      </c>
      <c r="F22" s="57">
        <f t="shared" si="7"/>
        <v>0.54739333005814561</v>
      </c>
      <c r="G22" s="71">
        <f t="shared" si="8"/>
        <v>92891</v>
      </c>
      <c r="H22" s="70">
        <f t="shared" si="0"/>
        <v>169696.9696969697</v>
      </c>
      <c r="I22" s="57">
        <f t="shared" si="1"/>
        <v>0.79514720232414526</v>
      </c>
      <c r="J22" s="71">
        <f t="shared" si="9"/>
        <v>134934</v>
      </c>
      <c r="K22" s="70">
        <f t="shared" si="2"/>
        <v>175000</v>
      </c>
      <c r="L22" s="57">
        <f t="shared" si="3"/>
        <v>0.26497014720354672</v>
      </c>
      <c r="M22" s="71">
        <f t="shared" si="10"/>
        <v>46370</v>
      </c>
      <c r="N22" s="70">
        <f t="shared" si="4"/>
        <v>175000</v>
      </c>
      <c r="O22" s="57">
        <f t="shared" si="5"/>
        <v>0.70810953243899077</v>
      </c>
      <c r="P22" s="71">
        <f t="shared" si="11"/>
        <v>123919</v>
      </c>
    </row>
    <row r="23" spans="1:16">
      <c r="A23" s="55">
        <v>15</v>
      </c>
      <c r="B23" s="69">
        <v>15000</v>
      </c>
      <c r="C23" s="58">
        <v>8.5000000000000006E-2</v>
      </c>
      <c r="D23" s="58">
        <v>8.2500000000000004E-2</v>
      </c>
      <c r="E23" s="70">
        <f t="shared" si="6"/>
        <v>176470.5882352941</v>
      </c>
      <c r="F23" s="57">
        <f t="shared" si="7"/>
        <v>0.55771458496310466</v>
      </c>
      <c r="G23" s="71">
        <f t="shared" si="8"/>
        <v>98420</v>
      </c>
      <c r="H23" s="70">
        <f t="shared" si="0"/>
        <v>176470.5882352941</v>
      </c>
      <c r="I23" s="57">
        <f t="shared" si="1"/>
        <v>0.80438361164564121</v>
      </c>
      <c r="J23" s="71">
        <f t="shared" si="9"/>
        <v>141950</v>
      </c>
      <c r="K23" s="70">
        <f t="shared" si="2"/>
        <v>181818.18181818182</v>
      </c>
      <c r="L23" s="57">
        <f t="shared" si="3"/>
        <v>0.27173677517702977</v>
      </c>
      <c r="M23" s="71">
        <f t="shared" si="10"/>
        <v>49407</v>
      </c>
      <c r="N23" s="70">
        <f t="shared" si="4"/>
        <v>181818.18181818182</v>
      </c>
      <c r="O23" s="57">
        <f t="shared" si="5"/>
        <v>0.71871050096529121</v>
      </c>
      <c r="P23" s="71">
        <f t="shared" si="11"/>
        <v>130675</v>
      </c>
    </row>
    <row r="24" spans="1:16">
      <c r="A24" s="55">
        <v>16</v>
      </c>
      <c r="B24" s="69">
        <v>16000</v>
      </c>
      <c r="C24" s="58">
        <v>8.7500000000000008E-2</v>
      </c>
      <c r="D24" s="58">
        <v>8.5000000000000006E-2</v>
      </c>
      <c r="E24" s="70">
        <f t="shared" si="6"/>
        <v>182857.14285714284</v>
      </c>
      <c r="F24" s="57">
        <f t="shared" si="7"/>
        <v>0.56777752713253782</v>
      </c>
      <c r="G24" s="71">
        <f t="shared" si="8"/>
        <v>103822</v>
      </c>
      <c r="H24" s="70">
        <f t="shared" si="0"/>
        <v>182857.14285714284</v>
      </c>
      <c r="I24" s="57">
        <f t="shared" si="1"/>
        <v>0.81318373394833587</v>
      </c>
      <c r="J24" s="71">
        <f t="shared" si="9"/>
        <v>148696</v>
      </c>
      <c r="K24" s="70">
        <f t="shared" si="2"/>
        <v>188235.29411764705</v>
      </c>
      <c r="L24" s="57">
        <f t="shared" si="3"/>
        <v>0.27842571573204666</v>
      </c>
      <c r="M24" s="71">
        <f t="shared" si="10"/>
        <v>52410</v>
      </c>
      <c r="N24" s="70">
        <f t="shared" si="4"/>
        <v>188235.29411764705</v>
      </c>
      <c r="O24" s="57">
        <f t="shared" si="5"/>
        <v>0.72890332621427301</v>
      </c>
      <c r="P24" s="71">
        <f t="shared" si="11"/>
        <v>137205</v>
      </c>
    </row>
    <row r="25" spans="1:16">
      <c r="A25" s="55">
        <v>17</v>
      </c>
      <c r="B25" s="69">
        <v>17000</v>
      </c>
      <c r="C25" s="58">
        <v>9.0000000000000011E-2</v>
      </c>
      <c r="D25" s="58">
        <v>8.7500000000000008E-2</v>
      </c>
      <c r="E25" s="70">
        <f t="shared" si="6"/>
        <v>188888.88888888888</v>
      </c>
      <c r="F25" s="57">
        <f t="shared" si="7"/>
        <v>0.57758919310431112</v>
      </c>
      <c r="G25" s="71">
        <f t="shared" si="8"/>
        <v>109100</v>
      </c>
      <c r="H25" s="70">
        <f t="shared" si="0"/>
        <v>188888.88888888888</v>
      </c>
      <c r="I25" s="57">
        <f t="shared" si="1"/>
        <v>0.82156911021773293</v>
      </c>
      <c r="J25" s="71">
        <f t="shared" si="9"/>
        <v>155185</v>
      </c>
      <c r="K25" s="70">
        <f t="shared" si="2"/>
        <v>194285.71428571426</v>
      </c>
      <c r="L25" s="57">
        <f t="shared" si="3"/>
        <v>0.28503803672701622</v>
      </c>
      <c r="M25" s="71">
        <f t="shared" si="10"/>
        <v>55379</v>
      </c>
      <c r="N25" s="70">
        <f t="shared" si="4"/>
        <v>194285.71428571426</v>
      </c>
      <c r="O25" s="57">
        <f t="shared" si="5"/>
        <v>0.73870460856903697</v>
      </c>
      <c r="P25" s="71">
        <f t="shared" si="11"/>
        <v>143520</v>
      </c>
    </row>
    <row r="26" spans="1:16">
      <c r="A26" s="55">
        <v>18</v>
      </c>
      <c r="B26" s="69">
        <v>18000</v>
      </c>
      <c r="C26" s="58">
        <v>9.2500000000000013E-2</v>
      </c>
      <c r="D26" s="58">
        <v>9.0000000000000011E-2</v>
      </c>
      <c r="E26" s="70">
        <f t="shared" si="6"/>
        <v>194594.59459459456</v>
      </c>
      <c r="F26" s="57">
        <f t="shared" si="7"/>
        <v>0.58715641223623871</v>
      </c>
      <c r="G26" s="71">
        <f t="shared" si="8"/>
        <v>114257</v>
      </c>
      <c r="H26" s="70">
        <f t="shared" si="0"/>
        <v>194594.59459459456</v>
      </c>
      <c r="I26" s="57">
        <f t="shared" si="1"/>
        <v>0.82956017204234545</v>
      </c>
      <c r="J26" s="71">
        <f t="shared" si="9"/>
        <v>161428</v>
      </c>
      <c r="K26" s="70">
        <f t="shared" si="2"/>
        <v>199999.99999999997</v>
      </c>
      <c r="L26" s="57">
        <f t="shared" si="3"/>
        <v>0.2915747889348036</v>
      </c>
      <c r="M26" s="71">
        <f t="shared" si="10"/>
        <v>58315</v>
      </c>
      <c r="N26" s="70">
        <f t="shared" si="4"/>
        <v>199999.99999999997</v>
      </c>
      <c r="O26" s="57">
        <f t="shared" si="5"/>
        <v>0.7481302373274149</v>
      </c>
      <c r="P26" s="71">
        <f t="shared" si="11"/>
        <v>149626</v>
      </c>
    </row>
    <row r="27" spans="1:16">
      <c r="A27" s="55">
        <v>19</v>
      </c>
      <c r="B27" s="69">
        <v>19000</v>
      </c>
      <c r="C27" s="58">
        <v>9.5000000000000015E-2</v>
      </c>
      <c r="D27" s="58">
        <v>9.2500000000000013E-2</v>
      </c>
      <c r="E27" s="70">
        <f t="shared" si="6"/>
        <v>199999.99999999997</v>
      </c>
      <c r="F27" s="57">
        <f t="shared" si="7"/>
        <v>0.5964858132605555</v>
      </c>
      <c r="G27" s="71">
        <f t="shared" si="8"/>
        <v>119297</v>
      </c>
      <c r="H27" s="70">
        <f t="shared" si="0"/>
        <v>199999.99999999997</v>
      </c>
      <c r="I27" s="57">
        <f t="shared" si="1"/>
        <v>0.83717630110000474</v>
      </c>
      <c r="J27" s="71">
        <f t="shared" si="9"/>
        <v>167435</v>
      </c>
      <c r="K27" s="70">
        <f t="shared" si="2"/>
        <v>205405.40540540538</v>
      </c>
      <c r="L27" s="57">
        <f t="shared" si="3"/>
        <v>0.29803700635442254</v>
      </c>
      <c r="M27" s="71">
        <f t="shared" si="10"/>
        <v>61218</v>
      </c>
      <c r="N27" s="70">
        <f t="shared" si="4"/>
        <v>205405.40540540538</v>
      </c>
      <c r="O27" s="57">
        <f t="shared" si="5"/>
        <v>0.75719542269245332</v>
      </c>
      <c r="P27" s="71">
        <f t="shared" si="11"/>
        <v>155532</v>
      </c>
    </row>
    <row r="28" spans="1:16">
      <c r="A28" s="55">
        <v>20</v>
      </c>
      <c r="B28" s="69">
        <v>20000</v>
      </c>
      <c r="C28" s="58">
        <v>9.7500000000000017E-2</v>
      </c>
      <c r="D28" s="58">
        <v>9.5000000000000015E-2</v>
      </c>
      <c r="E28" s="70">
        <f t="shared" si="6"/>
        <v>205128.2051282051</v>
      </c>
      <c r="F28" s="57">
        <f t="shared" si="7"/>
        <v>0.60558383061671006</v>
      </c>
      <c r="G28" s="71">
        <f t="shared" si="8"/>
        <v>124222</v>
      </c>
      <c r="H28" s="70">
        <f t="shared" si="0"/>
        <v>205128.2051282051</v>
      </c>
      <c r="I28" s="57">
        <f t="shared" si="1"/>
        <v>0.84443588532901193</v>
      </c>
      <c r="J28" s="71">
        <f t="shared" si="9"/>
        <v>173218</v>
      </c>
      <c r="K28" s="70">
        <f t="shared" si="2"/>
        <v>210526.31578947365</v>
      </c>
      <c r="L28" s="57">
        <f t="shared" si="3"/>
        <v>0.3044257065163618</v>
      </c>
      <c r="M28" s="71">
        <f t="shared" si="10"/>
        <v>64090</v>
      </c>
      <c r="N28" s="70">
        <f t="shared" si="4"/>
        <v>210526.31578947365</v>
      </c>
      <c r="O28" s="57">
        <f t="shared" si="5"/>
        <v>0.765914726255154</v>
      </c>
      <c r="P28" s="71">
        <f t="shared" si="11"/>
        <v>161245</v>
      </c>
    </row>
    <row r="29" spans="1:16">
      <c r="A29" s="55">
        <v>21</v>
      </c>
      <c r="B29" s="69">
        <v>21000</v>
      </c>
      <c r="C29" s="58">
        <v>0.10000000000000002</v>
      </c>
      <c r="D29" s="58">
        <v>9.7500000000000017E-2</v>
      </c>
      <c r="E29" s="70">
        <f t="shared" si="6"/>
        <v>209999.99999999997</v>
      </c>
      <c r="F29" s="57">
        <f t="shared" si="7"/>
        <v>0.61445671057046858</v>
      </c>
      <c r="G29" s="71">
        <f t="shared" si="8"/>
        <v>129036</v>
      </c>
      <c r="H29" s="70">
        <f t="shared" si="0"/>
        <v>209999.99999999997</v>
      </c>
      <c r="I29" s="57">
        <f t="shared" si="1"/>
        <v>0.85135637197585656</v>
      </c>
      <c r="J29" s="71">
        <f t="shared" si="9"/>
        <v>178785</v>
      </c>
      <c r="K29" s="70">
        <f t="shared" si="2"/>
        <v>215384.61538461535</v>
      </c>
      <c r="L29" s="57">
        <f t="shared" si="3"/>
        <v>0.31074189078166703</v>
      </c>
      <c r="M29" s="71">
        <f t="shared" si="10"/>
        <v>66929</v>
      </c>
      <c r="N29" s="70">
        <f t="shared" si="4"/>
        <v>215384.61538461535</v>
      </c>
      <c r="O29" s="57">
        <f t="shared" si="5"/>
        <v>0.77430209004373007</v>
      </c>
      <c r="P29" s="71">
        <f t="shared" si="11"/>
        <v>166773</v>
      </c>
    </row>
    <row r="30" spans="1:16">
      <c r="A30" s="55">
        <v>22</v>
      </c>
      <c r="B30" s="69">
        <v>22000</v>
      </c>
      <c r="C30" s="58">
        <v>0.10250000000000002</v>
      </c>
      <c r="D30" s="58">
        <v>0.10000000000000002</v>
      </c>
      <c r="E30" s="70">
        <f t="shared" si="6"/>
        <v>214634.14634146338</v>
      </c>
      <c r="F30" s="57">
        <f t="shared" si="7"/>
        <v>0.62311051712699939</v>
      </c>
      <c r="G30" s="71">
        <f t="shared" si="8"/>
        <v>133741</v>
      </c>
      <c r="H30" s="70">
        <f t="shared" si="0"/>
        <v>214634.14634146338</v>
      </c>
      <c r="I30" s="57">
        <f t="shared" si="1"/>
        <v>0.85795431769972219</v>
      </c>
      <c r="J30" s="71">
        <f t="shared" si="9"/>
        <v>184146</v>
      </c>
      <c r="K30" s="70">
        <f t="shared" si="2"/>
        <v>219999.99999999997</v>
      </c>
      <c r="L30" s="57">
        <f t="shared" si="3"/>
        <v>0.31698654463492948</v>
      </c>
      <c r="M30" s="71">
        <f t="shared" si="10"/>
        <v>69737</v>
      </c>
      <c r="N30" s="70">
        <f t="shared" si="4"/>
        <v>219999.99999999997</v>
      </c>
      <c r="O30" s="57">
        <f t="shared" si="5"/>
        <v>0.78237086420985147</v>
      </c>
      <c r="P30" s="71">
        <f t="shared" si="11"/>
        <v>172122</v>
      </c>
    </row>
    <row r="31" spans="1:16">
      <c r="A31" s="55">
        <v>23</v>
      </c>
      <c r="B31" s="69">
        <v>23000</v>
      </c>
      <c r="C31" s="58">
        <v>0.10500000000000002</v>
      </c>
      <c r="D31" s="58">
        <v>0.10250000000000002</v>
      </c>
      <c r="E31" s="70">
        <f t="shared" si="6"/>
        <v>219047.61904761899</v>
      </c>
      <c r="F31" s="57">
        <f t="shared" si="7"/>
        <v>0.63155113774532712</v>
      </c>
      <c r="G31" s="71">
        <f t="shared" si="8"/>
        <v>138340</v>
      </c>
      <c r="H31" s="70">
        <f t="shared" si="0"/>
        <v>219047.61904761899</v>
      </c>
      <c r="I31" s="57">
        <f t="shared" si="1"/>
        <v>0.86424543590323699</v>
      </c>
      <c r="J31" s="71">
        <f t="shared" si="9"/>
        <v>189311</v>
      </c>
      <c r="K31" s="70">
        <f t="shared" si="2"/>
        <v>224390.24390243899</v>
      </c>
      <c r="L31" s="57">
        <f t="shared" si="3"/>
        <v>0.32316063797131278</v>
      </c>
      <c r="M31" s="71">
        <f t="shared" si="10"/>
        <v>72514</v>
      </c>
      <c r="N31" s="70">
        <f t="shared" si="4"/>
        <v>224390.24390243899</v>
      </c>
      <c r="O31" s="57">
        <f t="shared" si="5"/>
        <v>0.7901338334187229</v>
      </c>
      <c r="P31" s="71">
        <f t="shared" si="11"/>
        <v>177298</v>
      </c>
    </row>
    <row r="32" spans="1:16">
      <c r="A32" s="55">
        <v>24</v>
      </c>
      <c r="B32" s="69">
        <v>24000</v>
      </c>
      <c r="C32" s="58">
        <v>0.10750000000000003</v>
      </c>
      <c r="D32" s="58">
        <v>0.10500000000000002</v>
      </c>
      <c r="E32" s="70">
        <f t="shared" si="6"/>
        <v>223255.81395348831</v>
      </c>
      <c r="F32" s="57">
        <f t="shared" si="7"/>
        <v>0.63978428886124494</v>
      </c>
      <c r="G32" s="71">
        <f t="shared" si="8"/>
        <v>142836</v>
      </c>
      <c r="H32" s="70">
        <f t="shared" si="0"/>
        <v>223255.81395348831</v>
      </c>
      <c r="I32" s="57">
        <f t="shared" si="1"/>
        <v>0.87024464144880098</v>
      </c>
      <c r="J32" s="71">
        <f t="shared" si="9"/>
        <v>194287</v>
      </c>
      <c r="K32" s="70">
        <f t="shared" si="2"/>
        <v>228571.42857142852</v>
      </c>
      <c r="L32" s="57">
        <f t="shared" si="3"/>
        <v>0.32926512537775998</v>
      </c>
      <c r="M32" s="71">
        <f t="shared" si="10"/>
        <v>75261</v>
      </c>
      <c r="N32" s="70">
        <f t="shared" si="4"/>
        <v>228571.42857142852</v>
      </c>
      <c r="O32" s="57">
        <f t="shared" si="5"/>
        <v>0.79760324200643307</v>
      </c>
      <c r="P32" s="71">
        <f t="shared" si="11"/>
        <v>182309</v>
      </c>
    </row>
    <row r="33" spans="1:16" ht="16.5" thickBot="1">
      <c r="A33" s="64">
        <v>25</v>
      </c>
      <c r="B33" s="72">
        <v>25000</v>
      </c>
      <c r="C33" s="73">
        <v>0.11000000000000003</v>
      </c>
      <c r="D33" s="73">
        <v>0.10750000000000003</v>
      </c>
      <c r="E33" s="74">
        <f t="shared" si="6"/>
        <v>227272.72727272721</v>
      </c>
      <c r="F33" s="75">
        <f t="shared" si="7"/>
        <v>0.6478155212255331</v>
      </c>
      <c r="G33" s="76">
        <f t="shared" si="8"/>
        <v>147231</v>
      </c>
      <c r="H33" s="74">
        <f t="shared" si="0"/>
        <v>227272.72727272721</v>
      </c>
      <c r="I33" s="75">
        <f t="shared" si="1"/>
        <v>0.87596609291035699</v>
      </c>
      <c r="J33" s="76">
        <f t="shared" si="9"/>
        <v>199083</v>
      </c>
      <c r="K33" s="74">
        <f t="shared" si="2"/>
        <v>232558.13953488367</v>
      </c>
      <c r="L33" s="75">
        <f t="shared" si="3"/>
        <v>0.33530094640850094</v>
      </c>
      <c r="M33" s="76">
        <f t="shared" si="10"/>
        <v>77977</v>
      </c>
      <c r="N33" s="74">
        <f t="shared" si="4"/>
        <v>232558.13953488367</v>
      </c>
      <c r="O33" s="75">
        <f t="shared" si="5"/>
        <v>0.80479081796475349</v>
      </c>
      <c r="P33" s="76">
        <f t="shared" si="11"/>
        <v>187161</v>
      </c>
    </row>
    <row r="34" spans="1:16">
      <c r="B34" s="69"/>
      <c r="C34" s="58"/>
      <c r="D34" s="58"/>
      <c r="G34" s="69"/>
      <c r="H34" s="69"/>
    </row>
    <row r="35" spans="1:16">
      <c r="B35" s="69"/>
      <c r="C35" s="58"/>
      <c r="D35" s="58"/>
      <c r="G35" s="69"/>
      <c r="H35" s="69"/>
    </row>
  </sheetData>
  <phoneticPr fontId="4" type="noConversion"/>
  <pageMargins left="0.36" right="0.36" top="0.16" bottom="0.17" header="0" footer="0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W51"/>
  <sheetViews>
    <sheetView workbookViewId="0"/>
  </sheetViews>
  <sheetFormatPr baseColWidth="10" defaultRowHeight="15.75"/>
  <cols>
    <col min="1" max="2" width="11.42578125" style="57"/>
    <col min="3" max="3" width="11.42578125" style="57" customWidth="1"/>
    <col min="4" max="4" width="13.140625" style="57" customWidth="1"/>
    <col min="5" max="15" width="11.42578125" style="57"/>
    <col min="16" max="16" width="5.7109375" style="57" customWidth="1"/>
    <col min="17" max="17" width="15.5703125" style="57" customWidth="1"/>
    <col min="18" max="16384" width="11.42578125" style="57"/>
  </cols>
  <sheetData>
    <row r="1" spans="1:23">
      <c r="A1" s="55"/>
      <c r="B1" s="56" t="s">
        <v>6</v>
      </c>
      <c r="C1" s="56"/>
    </row>
    <row r="2" spans="1:23">
      <c r="A2" s="55" t="s">
        <v>11</v>
      </c>
      <c r="B2" s="57" t="s">
        <v>9</v>
      </c>
    </row>
    <row r="3" spans="1:23">
      <c r="A3" s="55"/>
      <c r="B3" s="57" t="s">
        <v>73</v>
      </c>
    </row>
    <row r="4" spans="1:23">
      <c r="A4" s="55"/>
      <c r="B4" s="57" t="s">
        <v>8</v>
      </c>
      <c r="J4" s="77"/>
      <c r="K4" s="30"/>
      <c r="L4" s="77"/>
      <c r="M4" s="30"/>
      <c r="N4" s="30"/>
      <c r="O4" s="77"/>
    </row>
    <row r="5" spans="1:23">
      <c r="A5" s="55"/>
      <c r="B5" s="57" t="s">
        <v>7</v>
      </c>
    </row>
    <row r="6" spans="1:23">
      <c r="A6" s="55"/>
      <c r="B6" s="57" t="s">
        <v>53</v>
      </c>
    </row>
    <row r="7" spans="1:23">
      <c r="A7" s="55"/>
    </row>
    <row r="8" spans="1:23">
      <c r="A8" s="55"/>
    </row>
    <row r="9" spans="1:23" ht="20.25" thickBot="1">
      <c r="A9" s="55"/>
      <c r="D9" s="78" t="s">
        <v>125</v>
      </c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Q9" s="79" t="s">
        <v>126</v>
      </c>
      <c r="R9" s="79"/>
      <c r="S9" s="79"/>
      <c r="T9" s="79"/>
      <c r="U9" s="79"/>
      <c r="V9" s="79"/>
      <c r="W9" s="30"/>
    </row>
    <row r="10" spans="1:23">
      <c r="A10" s="55"/>
      <c r="D10" s="80" t="s">
        <v>127</v>
      </c>
      <c r="E10" s="80" t="s">
        <v>127</v>
      </c>
      <c r="F10" s="80" t="s">
        <v>127</v>
      </c>
      <c r="G10" s="80" t="s">
        <v>127</v>
      </c>
      <c r="H10" s="80" t="s">
        <v>127</v>
      </c>
      <c r="I10" s="80" t="s">
        <v>128</v>
      </c>
      <c r="J10" s="80" t="s">
        <v>129</v>
      </c>
      <c r="K10" s="80" t="s">
        <v>129</v>
      </c>
      <c r="L10" s="80" t="s">
        <v>129</v>
      </c>
      <c r="M10" s="80" t="s">
        <v>129</v>
      </c>
      <c r="N10" s="80" t="s">
        <v>130</v>
      </c>
      <c r="O10" s="80" t="s">
        <v>131</v>
      </c>
      <c r="Q10" s="81" t="s">
        <v>15</v>
      </c>
      <c r="R10" s="81" t="s">
        <v>132</v>
      </c>
      <c r="S10" s="81" t="s">
        <v>133</v>
      </c>
      <c r="T10" s="81" t="s">
        <v>134</v>
      </c>
      <c r="U10" s="81" t="s">
        <v>135</v>
      </c>
      <c r="V10" s="81" t="s">
        <v>136</v>
      </c>
      <c r="W10" s="30"/>
    </row>
    <row r="11" spans="1:23" ht="17.25" thickBot="1">
      <c r="A11" s="64" t="s">
        <v>3</v>
      </c>
      <c r="B11" s="65" t="s">
        <v>0</v>
      </c>
      <c r="C11" s="66" t="s">
        <v>72</v>
      </c>
      <c r="D11" s="82" t="s">
        <v>137</v>
      </c>
      <c r="E11" s="82" t="s">
        <v>138</v>
      </c>
      <c r="F11" s="82" t="s">
        <v>139</v>
      </c>
      <c r="G11" s="82" t="s">
        <v>140</v>
      </c>
      <c r="H11" s="82" t="s">
        <v>141</v>
      </c>
      <c r="I11" s="82" t="s">
        <v>142</v>
      </c>
      <c r="J11" s="82" t="s">
        <v>143</v>
      </c>
      <c r="K11" s="82" t="s">
        <v>144</v>
      </c>
      <c r="L11" s="82" t="s">
        <v>145</v>
      </c>
      <c r="M11" s="82" t="s">
        <v>141</v>
      </c>
      <c r="N11" s="82" t="s">
        <v>146</v>
      </c>
      <c r="O11" s="82" t="s">
        <v>141</v>
      </c>
      <c r="Q11" s="82" t="s">
        <v>116</v>
      </c>
      <c r="R11" s="83" t="s">
        <v>147</v>
      </c>
      <c r="S11" s="84"/>
      <c r="T11" s="83" t="s">
        <v>148</v>
      </c>
      <c r="U11" s="83" t="s">
        <v>148</v>
      </c>
      <c r="V11" s="83" t="s">
        <v>146</v>
      </c>
      <c r="W11" s="30"/>
    </row>
    <row r="12" spans="1:23">
      <c r="A12" s="55">
        <v>1</v>
      </c>
      <c r="B12" s="69">
        <v>25000</v>
      </c>
      <c r="C12" s="58">
        <v>3.8999999999999998E-3</v>
      </c>
      <c r="D12" s="69">
        <f>$B12</f>
        <v>25000</v>
      </c>
      <c r="E12" s="69">
        <f t="shared" ref="E12:G27" si="0">$B12</f>
        <v>25000</v>
      </c>
      <c r="F12" s="69">
        <f t="shared" si="0"/>
        <v>25000</v>
      </c>
      <c r="G12" s="69">
        <f t="shared" si="0"/>
        <v>25000</v>
      </c>
      <c r="H12" s="69">
        <v>0</v>
      </c>
      <c r="I12" s="71">
        <f t="shared" ref="I12" si="1">SUM(D12:H12)</f>
        <v>100000</v>
      </c>
      <c r="J12" s="70">
        <f>D12*C12</f>
        <v>97.5</v>
      </c>
      <c r="K12" s="70">
        <f>(D12+E12)*C12</f>
        <v>195</v>
      </c>
      <c r="L12" s="70">
        <f t="shared" ref="L12" si="2">(D12+E12+F12)*C12</f>
        <v>292.5</v>
      </c>
      <c r="M12" s="70">
        <f t="shared" ref="M12" si="3">(D12+E12+F12+G12)*C12</f>
        <v>390</v>
      </c>
      <c r="N12" s="85">
        <f>SUM(J12:M12)</f>
        <v>975</v>
      </c>
      <c r="O12" s="71">
        <f t="shared" ref="O12" si="4">ROUND(I12+N12,0)</f>
        <v>100975</v>
      </c>
      <c r="Q12" s="70">
        <f t="shared" ref="Q12" si="5">B12/C12</f>
        <v>6410256.4102564109</v>
      </c>
      <c r="R12" s="57">
        <f t="shared" ref="R12" si="6">1-1/POWER(1+C12,3)</f>
        <v>1.1609329738687557E-2</v>
      </c>
      <c r="S12" s="70">
        <f t="shared" ref="S12" si="7">Q12*R12</f>
        <v>74418.780376202296</v>
      </c>
      <c r="T12" s="69">
        <f t="shared" ref="T12" si="8">S12+B12</f>
        <v>99418.780376202296</v>
      </c>
      <c r="U12" s="71">
        <f t="shared" ref="U12" si="9">ROUND(T12*POWER(1+C12,4),0)</f>
        <v>100979</v>
      </c>
      <c r="V12" s="71">
        <f t="shared" ref="V12" si="10">U12-O12</f>
        <v>4</v>
      </c>
      <c r="W12" s="30"/>
    </row>
    <row r="13" spans="1:23">
      <c r="A13" s="55">
        <v>2</v>
      </c>
      <c r="B13" s="69">
        <v>24000</v>
      </c>
      <c r="C13" s="58">
        <v>3.8999999999999998E-3</v>
      </c>
      <c r="D13" s="69">
        <f>$B13</f>
        <v>24000</v>
      </c>
      <c r="E13" s="69">
        <f t="shared" si="0"/>
        <v>24000</v>
      </c>
      <c r="F13" s="69">
        <f t="shared" si="0"/>
        <v>24000</v>
      </c>
      <c r="G13" s="69">
        <f t="shared" si="0"/>
        <v>24000</v>
      </c>
      <c r="H13" s="69">
        <v>0</v>
      </c>
      <c r="I13" s="71">
        <f t="shared" ref="I13" si="11">SUM(D13:H13)</f>
        <v>96000</v>
      </c>
      <c r="J13" s="70">
        <f>D13*C13</f>
        <v>93.6</v>
      </c>
      <c r="K13" s="70">
        <f>(D13+E13)*C13</f>
        <v>187.2</v>
      </c>
      <c r="L13" s="70">
        <f t="shared" ref="L13" si="12">(D13+E13+F13)*C13</f>
        <v>280.8</v>
      </c>
      <c r="M13" s="70">
        <f t="shared" ref="M13" si="13">(D13+E13+F13+G13)*C13</f>
        <v>374.4</v>
      </c>
      <c r="N13" s="85">
        <f>SUM(J13:M13)</f>
        <v>935.99999999999989</v>
      </c>
      <c r="O13" s="71">
        <f t="shared" ref="O13" si="14">ROUND(I13+N13,0)</f>
        <v>96936</v>
      </c>
      <c r="Q13" s="70">
        <f t="shared" ref="Q13" si="15">B13/C13</f>
        <v>6153846.153846154</v>
      </c>
      <c r="R13" s="57">
        <f t="shared" ref="R13" si="16">1-1/POWER(1+C13,3)</f>
        <v>1.1609329738687557E-2</v>
      </c>
      <c r="S13" s="70">
        <f t="shared" ref="S13" si="17">Q13*R13</f>
        <v>71442.029161154205</v>
      </c>
      <c r="T13" s="69">
        <f t="shared" ref="T13" si="18">S13+B13</f>
        <v>95442.029161154205</v>
      </c>
      <c r="U13" s="71">
        <f t="shared" ref="U13" si="19">ROUND(T13*POWER(1+C13,4),0)</f>
        <v>96940</v>
      </c>
      <c r="V13" s="71">
        <f t="shared" ref="V13" si="20">U13-O13</f>
        <v>4</v>
      </c>
    </row>
    <row r="14" spans="1:23">
      <c r="A14" s="55">
        <v>3</v>
      </c>
      <c r="B14" s="69">
        <v>23000</v>
      </c>
      <c r="C14" s="58">
        <v>3.8999999999999998E-3</v>
      </c>
      <c r="D14" s="69">
        <f t="shared" ref="D14:G36" si="21">$B14</f>
        <v>23000</v>
      </c>
      <c r="E14" s="69">
        <f t="shared" si="0"/>
        <v>23000</v>
      </c>
      <c r="F14" s="69">
        <f t="shared" si="0"/>
        <v>23000</v>
      </c>
      <c r="G14" s="69">
        <f t="shared" si="0"/>
        <v>23000</v>
      </c>
      <c r="H14" s="69">
        <v>0</v>
      </c>
      <c r="I14" s="71">
        <f t="shared" ref="I14:I36" si="22">SUM(D14:H14)</f>
        <v>92000</v>
      </c>
      <c r="J14" s="70">
        <f t="shared" ref="J14:J36" si="23">D14*C14</f>
        <v>89.7</v>
      </c>
      <c r="K14" s="70">
        <f t="shared" ref="K14:K36" si="24">(D14+E14)*C14</f>
        <v>179.4</v>
      </c>
      <c r="L14" s="70">
        <f t="shared" ref="L14:L36" si="25">(D14+E14+F14)*C14</f>
        <v>269.09999999999997</v>
      </c>
      <c r="M14" s="70">
        <f t="shared" ref="M14:M36" si="26">(D14+E14+F14+G14)*C14</f>
        <v>358.8</v>
      </c>
      <c r="N14" s="85">
        <f t="shared" ref="N14:N36" si="27">SUM(J14:M14)</f>
        <v>897</v>
      </c>
      <c r="O14" s="71">
        <f t="shared" ref="O14:O36" si="28">ROUND(I14+N14,0)</f>
        <v>92897</v>
      </c>
      <c r="Q14" s="70">
        <f t="shared" ref="Q14:Q36" si="29">B14/C14</f>
        <v>5897435.897435898</v>
      </c>
      <c r="R14" s="57">
        <f t="shared" ref="R14:R36" si="30">1-1/POWER(1+C14,3)</f>
        <v>1.1609329738687557E-2</v>
      </c>
      <c r="S14" s="70">
        <f t="shared" ref="S14:S36" si="31">Q14*R14</f>
        <v>68465.277946106115</v>
      </c>
      <c r="T14" s="69">
        <f t="shared" ref="T14:T36" si="32">S14+B14</f>
        <v>91465.277946106115</v>
      </c>
      <c r="U14" s="71">
        <f t="shared" ref="U14:U36" si="33">ROUND(T14*POWER(1+C14,4),0)</f>
        <v>92901</v>
      </c>
      <c r="V14" s="71">
        <f t="shared" ref="V14:V36" si="34">U14-O14</f>
        <v>4</v>
      </c>
    </row>
    <row r="15" spans="1:23">
      <c r="A15" s="55">
        <v>4</v>
      </c>
      <c r="B15" s="69">
        <v>22000</v>
      </c>
      <c r="C15" s="58">
        <v>3.8999999999999998E-3</v>
      </c>
      <c r="D15" s="69">
        <f t="shared" si="21"/>
        <v>22000</v>
      </c>
      <c r="E15" s="69">
        <f t="shared" si="0"/>
        <v>22000</v>
      </c>
      <c r="F15" s="69">
        <f t="shared" si="0"/>
        <v>22000</v>
      </c>
      <c r="G15" s="69">
        <f t="shared" si="0"/>
        <v>22000</v>
      </c>
      <c r="H15" s="69">
        <v>0</v>
      </c>
      <c r="I15" s="71">
        <f t="shared" si="22"/>
        <v>88000</v>
      </c>
      <c r="J15" s="70">
        <f t="shared" si="23"/>
        <v>85.8</v>
      </c>
      <c r="K15" s="70">
        <f t="shared" si="24"/>
        <v>171.6</v>
      </c>
      <c r="L15" s="70">
        <f t="shared" si="25"/>
        <v>257.39999999999998</v>
      </c>
      <c r="M15" s="70">
        <f t="shared" si="26"/>
        <v>343.2</v>
      </c>
      <c r="N15" s="85">
        <f t="shared" si="27"/>
        <v>858</v>
      </c>
      <c r="O15" s="71">
        <f t="shared" si="28"/>
        <v>88858</v>
      </c>
      <c r="Q15" s="70">
        <f t="shared" si="29"/>
        <v>5641025.641025641</v>
      </c>
      <c r="R15" s="57">
        <f t="shared" si="30"/>
        <v>1.1609329738687557E-2</v>
      </c>
      <c r="S15" s="70">
        <f t="shared" si="31"/>
        <v>65488.526731058017</v>
      </c>
      <c r="T15" s="69">
        <f t="shared" si="32"/>
        <v>87488.526731058024</v>
      </c>
      <c r="U15" s="71">
        <f t="shared" si="33"/>
        <v>88861</v>
      </c>
      <c r="V15" s="71">
        <f t="shared" si="34"/>
        <v>3</v>
      </c>
    </row>
    <row r="16" spans="1:23">
      <c r="A16" s="55">
        <v>5</v>
      </c>
      <c r="B16" s="69">
        <v>21000</v>
      </c>
      <c r="C16" s="58">
        <v>3.8999999999999998E-3</v>
      </c>
      <c r="D16" s="69">
        <f t="shared" si="21"/>
        <v>21000</v>
      </c>
      <c r="E16" s="69">
        <f t="shared" si="0"/>
        <v>21000</v>
      </c>
      <c r="F16" s="69">
        <f t="shared" si="0"/>
        <v>21000</v>
      </c>
      <c r="G16" s="69">
        <f t="shared" si="0"/>
        <v>21000</v>
      </c>
      <c r="H16" s="69">
        <v>0</v>
      </c>
      <c r="I16" s="71">
        <f t="shared" si="22"/>
        <v>84000</v>
      </c>
      <c r="J16" s="70">
        <f t="shared" si="23"/>
        <v>81.899999999999991</v>
      </c>
      <c r="K16" s="70">
        <f t="shared" si="24"/>
        <v>163.79999999999998</v>
      </c>
      <c r="L16" s="70">
        <f t="shared" si="25"/>
        <v>245.7</v>
      </c>
      <c r="M16" s="70">
        <f t="shared" si="26"/>
        <v>327.59999999999997</v>
      </c>
      <c r="N16" s="85">
        <f t="shared" si="27"/>
        <v>819</v>
      </c>
      <c r="O16" s="71">
        <f t="shared" si="28"/>
        <v>84819</v>
      </c>
      <c r="Q16" s="70">
        <f t="shared" si="29"/>
        <v>5384615.384615385</v>
      </c>
      <c r="R16" s="57">
        <f t="shared" si="30"/>
        <v>1.1609329738687557E-2</v>
      </c>
      <c r="S16" s="70">
        <f t="shared" si="31"/>
        <v>62511.775516009926</v>
      </c>
      <c r="T16" s="69">
        <f t="shared" si="32"/>
        <v>83511.775516009919</v>
      </c>
      <c r="U16" s="71">
        <f t="shared" si="33"/>
        <v>84822</v>
      </c>
      <c r="V16" s="71">
        <f t="shared" si="34"/>
        <v>3</v>
      </c>
    </row>
    <row r="17" spans="1:22">
      <c r="A17" s="55">
        <v>6</v>
      </c>
      <c r="B17" s="69">
        <v>20000</v>
      </c>
      <c r="C17" s="58">
        <v>3.8999999999999998E-3</v>
      </c>
      <c r="D17" s="69">
        <f t="shared" si="21"/>
        <v>20000</v>
      </c>
      <c r="E17" s="69">
        <f t="shared" si="0"/>
        <v>20000</v>
      </c>
      <c r="F17" s="69">
        <f t="shared" si="0"/>
        <v>20000</v>
      </c>
      <c r="G17" s="69">
        <f t="shared" si="0"/>
        <v>20000</v>
      </c>
      <c r="H17" s="69">
        <v>0</v>
      </c>
      <c r="I17" s="71">
        <f t="shared" si="22"/>
        <v>80000</v>
      </c>
      <c r="J17" s="70">
        <f t="shared" si="23"/>
        <v>78</v>
      </c>
      <c r="K17" s="70">
        <f t="shared" si="24"/>
        <v>156</v>
      </c>
      <c r="L17" s="70">
        <f t="shared" si="25"/>
        <v>234</v>
      </c>
      <c r="M17" s="70">
        <f t="shared" si="26"/>
        <v>312</v>
      </c>
      <c r="N17" s="85">
        <f t="shared" si="27"/>
        <v>780</v>
      </c>
      <c r="O17" s="71">
        <f t="shared" si="28"/>
        <v>80780</v>
      </c>
      <c r="Q17" s="70">
        <f t="shared" si="29"/>
        <v>5128205.128205128</v>
      </c>
      <c r="R17" s="57">
        <f t="shared" si="30"/>
        <v>1.1609329738687557E-2</v>
      </c>
      <c r="S17" s="70">
        <f t="shared" si="31"/>
        <v>59535.024300961828</v>
      </c>
      <c r="T17" s="69">
        <f t="shared" si="32"/>
        <v>79535.024300961828</v>
      </c>
      <c r="U17" s="71">
        <f t="shared" si="33"/>
        <v>80783</v>
      </c>
      <c r="V17" s="71">
        <f t="shared" si="34"/>
        <v>3</v>
      </c>
    </row>
    <row r="18" spans="1:22">
      <c r="A18" s="55">
        <v>7</v>
      </c>
      <c r="B18" s="69">
        <v>19000</v>
      </c>
      <c r="C18" s="58">
        <v>3.8999999999999998E-3</v>
      </c>
      <c r="D18" s="69">
        <f t="shared" si="21"/>
        <v>19000</v>
      </c>
      <c r="E18" s="69">
        <f t="shared" si="0"/>
        <v>19000</v>
      </c>
      <c r="F18" s="69">
        <f t="shared" si="0"/>
        <v>19000</v>
      </c>
      <c r="G18" s="69">
        <f t="shared" si="0"/>
        <v>19000</v>
      </c>
      <c r="H18" s="69">
        <v>0</v>
      </c>
      <c r="I18" s="71">
        <f t="shared" si="22"/>
        <v>76000</v>
      </c>
      <c r="J18" s="70">
        <f t="shared" si="23"/>
        <v>74.099999999999994</v>
      </c>
      <c r="K18" s="70">
        <f t="shared" si="24"/>
        <v>148.19999999999999</v>
      </c>
      <c r="L18" s="70">
        <f t="shared" si="25"/>
        <v>222.29999999999998</v>
      </c>
      <c r="M18" s="70">
        <f t="shared" si="26"/>
        <v>296.39999999999998</v>
      </c>
      <c r="N18" s="85">
        <f t="shared" si="27"/>
        <v>741</v>
      </c>
      <c r="O18" s="71">
        <f t="shared" si="28"/>
        <v>76741</v>
      </c>
      <c r="Q18" s="70">
        <f t="shared" si="29"/>
        <v>4871794.871794872</v>
      </c>
      <c r="R18" s="57">
        <f t="shared" si="30"/>
        <v>1.1609329738687557E-2</v>
      </c>
      <c r="S18" s="70">
        <f t="shared" si="31"/>
        <v>56558.273085913745</v>
      </c>
      <c r="T18" s="69">
        <f t="shared" si="32"/>
        <v>75558.273085913737</v>
      </c>
      <c r="U18" s="71">
        <f t="shared" si="33"/>
        <v>76744</v>
      </c>
      <c r="V18" s="71">
        <f t="shared" si="34"/>
        <v>3</v>
      </c>
    </row>
    <row r="19" spans="1:22">
      <c r="A19" s="55">
        <v>8</v>
      </c>
      <c r="B19" s="69">
        <v>18000</v>
      </c>
      <c r="C19" s="58">
        <v>3.8999999999999998E-3</v>
      </c>
      <c r="D19" s="69">
        <f t="shared" si="21"/>
        <v>18000</v>
      </c>
      <c r="E19" s="69">
        <f t="shared" si="0"/>
        <v>18000</v>
      </c>
      <c r="F19" s="69">
        <f t="shared" si="0"/>
        <v>18000</v>
      </c>
      <c r="G19" s="69">
        <f t="shared" si="0"/>
        <v>18000</v>
      </c>
      <c r="H19" s="69">
        <v>0</v>
      </c>
      <c r="I19" s="71">
        <f t="shared" si="22"/>
        <v>72000</v>
      </c>
      <c r="J19" s="70">
        <f t="shared" si="23"/>
        <v>70.2</v>
      </c>
      <c r="K19" s="70">
        <f t="shared" si="24"/>
        <v>140.4</v>
      </c>
      <c r="L19" s="70">
        <f t="shared" si="25"/>
        <v>210.6</v>
      </c>
      <c r="M19" s="70">
        <f t="shared" si="26"/>
        <v>280.8</v>
      </c>
      <c r="N19" s="85">
        <f t="shared" si="27"/>
        <v>702</v>
      </c>
      <c r="O19" s="71">
        <f t="shared" si="28"/>
        <v>72702</v>
      </c>
      <c r="Q19" s="70">
        <f t="shared" si="29"/>
        <v>4615384.615384616</v>
      </c>
      <c r="R19" s="57">
        <f t="shared" si="30"/>
        <v>1.1609329738687557E-2</v>
      </c>
      <c r="S19" s="70">
        <f t="shared" si="31"/>
        <v>53581.521870865654</v>
      </c>
      <c r="T19" s="69">
        <f t="shared" si="32"/>
        <v>71581.521870865661</v>
      </c>
      <c r="U19" s="71">
        <f t="shared" si="33"/>
        <v>72705</v>
      </c>
      <c r="V19" s="71">
        <f t="shared" si="34"/>
        <v>3</v>
      </c>
    </row>
    <row r="20" spans="1:22">
      <c r="A20" s="55">
        <v>9</v>
      </c>
      <c r="B20" s="69">
        <v>17000</v>
      </c>
      <c r="C20" s="58">
        <v>3.8999999999999998E-3</v>
      </c>
      <c r="D20" s="69">
        <f t="shared" si="21"/>
        <v>17000</v>
      </c>
      <c r="E20" s="69">
        <f t="shared" si="0"/>
        <v>17000</v>
      </c>
      <c r="F20" s="69">
        <f t="shared" si="0"/>
        <v>17000</v>
      </c>
      <c r="G20" s="69">
        <f t="shared" si="0"/>
        <v>17000</v>
      </c>
      <c r="H20" s="69">
        <v>0</v>
      </c>
      <c r="I20" s="71">
        <f t="shared" si="22"/>
        <v>68000</v>
      </c>
      <c r="J20" s="70">
        <f t="shared" si="23"/>
        <v>66.3</v>
      </c>
      <c r="K20" s="70">
        <f t="shared" si="24"/>
        <v>132.6</v>
      </c>
      <c r="L20" s="70">
        <f t="shared" si="25"/>
        <v>198.89999999999998</v>
      </c>
      <c r="M20" s="70">
        <f t="shared" si="26"/>
        <v>265.2</v>
      </c>
      <c r="N20" s="85">
        <f t="shared" si="27"/>
        <v>663</v>
      </c>
      <c r="O20" s="71">
        <f t="shared" si="28"/>
        <v>68663</v>
      </c>
      <c r="Q20" s="70">
        <f t="shared" si="29"/>
        <v>4358974.358974359</v>
      </c>
      <c r="R20" s="57">
        <f t="shared" si="30"/>
        <v>1.1609329738687557E-2</v>
      </c>
      <c r="S20" s="70">
        <f t="shared" si="31"/>
        <v>50604.770655817556</v>
      </c>
      <c r="T20" s="69">
        <f t="shared" si="32"/>
        <v>67604.770655817556</v>
      </c>
      <c r="U20" s="71">
        <f t="shared" si="33"/>
        <v>68666</v>
      </c>
      <c r="V20" s="71">
        <f t="shared" si="34"/>
        <v>3</v>
      </c>
    </row>
    <row r="21" spans="1:22">
      <c r="A21" s="55">
        <v>10</v>
      </c>
      <c r="B21" s="69">
        <v>16000</v>
      </c>
      <c r="C21" s="58">
        <v>3.8999999999999998E-3</v>
      </c>
      <c r="D21" s="69">
        <f t="shared" si="21"/>
        <v>16000</v>
      </c>
      <c r="E21" s="69">
        <f t="shared" si="0"/>
        <v>16000</v>
      </c>
      <c r="F21" s="69">
        <f t="shared" si="0"/>
        <v>16000</v>
      </c>
      <c r="G21" s="69">
        <f t="shared" si="0"/>
        <v>16000</v>
      </c>
      <c r="H21" s="69">
        <v>0</v>
      </c>
      <c r="I21" s="71">
        <f t="shared" si="22"/>
        <v>64000</v>
      </c>
      <c r="J21" s="70">
        <f t="shared" si="23"/>
        <v>62.4</v>
      </c>
      <c r="K21" s="70">
        <f t="shared" si="24"/>
        <v>124.8</v>
      </c>
      <c r="L21" s="70">
        <f t="shared" si="25"/>
        <v>187.2</v>
      </c>
      <c r="M21" s="70">
        <f t="shared" si="26"/>
        <v>249.6</v>
      </c>
      <c r="N21" s="85">
        <f t="shared" si="27"/>
        <v>624</v>
      </c>
      <c r="O21" s="71">
        <f t="shared" si="28"/>
        <v>64624</v>
      </c>
      <c r="Q21" s="70">
        <f t="shared" si="29"/>
        <v>4102564.102564103</v>
      </c>
      <c r="R21" s="57">
        <f t="shared" si="30"/>
        <v>1.1609329738687557E-2</v>
      </c>
      <c r="S21" s="70">
        <f t="shared" si="31"/>
        <v>47628.019440769473</v>
      </c>
      <c r="T21" s="69">
        <f t="shared" si="32"/>
        <v>63628.019440769473</v>
      </c>
      <c r="U21" s="71">
        <f t="shared" si="33"/>
        <v>64626</v>
      </c>
      <c r="V21" s="71">
        <f t="shared" si="34"/>
        <v>2</v>
      </c>
    </row>
    <row r="22" spans="1:22">
      <c r="A22" s="55">
        <v>11</v>
      </c>
      <c r="B22" s="69">
        <v>15000</v>
      </c>
      <c r="C22" s="58">
        <v>3.8999999999999998E-3</v>
      </c>
      <c r="D22" s="69">
        <f t="shared" si="21"/>
        <v>15000</v>
      </c>
      <c r="E22" s="69">
        <f t="shared" si="0"/>
        <v>15000</v>
      </c>
      <c r="F22" s="69">
        <f t="shared" si="0"/>
        <v>15000</v>
      </c>
      <c r="G22" s="69">
        <f t="shared" si="0"/>
        <v>15000</v>
      </c>
      <c r="H22" s="69">
        <v>0</v>
      </c>
      <c r="I22" s="71">
        <f t="shared" si="22"/>
        <v>60000</v>
      </c>
      <c r="J22" s="70">
        <f t="shared" si="23"/>
        <v>58.5</v>
      </c>
      <c r="K22" s="70">
        <f t="shared" si="24"/>
        <v>117</v>
      </c>
      <c r="L22" s="70">
        <f t="shared" si="25"/>
        <v>175.5</v>
      </c>
      <c r="M22" s="70">
        <f t="shared" si="26"/>
        <v>234</v>
      </c>
      <c r="N22" s="85">
        <f t="shared" si="27"/>
        <v>585</v>
      </c>
      <c r="O22" s="71">
        <f t="shared" si="28"/>
        <v>60585</v>
      </c>
      <c r="Q22" s="70">
        <f t="shared" si="29"/>
        <v>3846153.8461538465</v>
      </c>
      <c r="R22" s="57">
        <f t="shared" si="30"/>
        <v>1.1609329738687557E-2</v>
      </c>
      <c r="S22" s="70">
        <f t="shared" si="31"/>
        <v>44651.268225721375</v>
      </c>
      <c r="T22" s="69">
        <f t="shared" si="32"/>
        <v>59651.268225721375</v>
      </c>
      <c r="U22" s="71">
        <f t="shared" si="33"/>
        <v>60587</v>
      </c>
      <c r="V22" s="71">
        <f t="shared" si="34"/>
        <v>2</v>
      </c>
    </row>
    <row r="23" spans="1:22">
      <c r="A23" s="55">
        <v>12</v>
      </c>
      <c r="B23" s="69">
        <v>14000</v>
      </c>
      <c r="C23" s="58">
        <v>3.8999999999999998E-3</v>
      </c>
      <c r="D23" s="69">
        <f t="shared" si="21"/>
        <v>14000</v>
      </c>
      <c r="E23" s="69">
        <f t="shared" si="0"/>
        <v>14000</v>
      </c>
      <c r="F23" s="69">
        <f t="shared" si="0"/>
        <v>14000</v>
      </c>
      <c r="G23" s="69">
        <f t="shared" si="0"/>
        <v>14000</v>
      </c>
      <c r="H23" s="69">
        <v>0</v>
      </c>
      <c r="I23" s="71">
        <f t="shared" si="22"/>
        <v>56000</v>
      </c>
      <c r="J23" s="70">
        <f t="shared" si="23"/>
        <v>54.599999999999994</v>
      </c>
      <c r="K23" s="70">
        <f t="shared" si="24"/>
        <v>109.19999999999999</v>
      </c>
      <c r="L23" s="70">
        <f t="shared" si="25"/>
        <v>163.79999999999998</v>
      </c>
      <c r="M23" s="70">
        <f t="shared" si="26"/>
        <v>218.39999999999998</v>
      </c>
      <c r="N23" s="85">
        <f t="shared" si="27"/>
        <v>546</v>
      </c>
      <c r="O23" s="71">
        <f t="shared" si="28"/>
        <v>56546</v>
      </c>
      <c r="Q23" s="70">
        <f t="shared" si="29"/>
        <v>3589743.58974359</v>
      </c>
      <c r="R23" s="57">
        <f t="shared" si="30"/>
        <v>1.1609329738687557E-2</v>
      </c>
      <c r="S23" s="70">
        <f t="shared" si="31"/>
        <v>41674.517010673284</v>
      </c>
      <c r="T23" s="69">
        <f t="shared" si="32"/>
        <v>55674.517010673284</v>
      </c>
      <c r="U23" s="71">
        <f t="shared" si="33"/>
        <v>56548</v>
      </c>
      <c r="V23" s="71">
        <f t="shared" si="34"/>
        <v>2</v>
      </c>
    </row>
    <row r="24" spans="1:22">
      <c r="A24" s="55">
        <v>13</v>
      </c>
      <c r="B24" s="69">
        <v>13000</v>
      </c>
      <c r="C24" s="58">
        <v>0.13450000000000001</v>
      </c>
      <c r="D24" s="69">
        <f t="shared" si="21"/>
        <v>13000</v>
      </c>
      <c r="E24" s="69">
        <f t="shared" si="0"/>
        <v>13000</v>
      </c>
      <c r="F24" s="69">
        <f t="shared" si="0"/>
        <v>13000</v>
      </c>
      <c r="G24" s="69">
        <f t="shared" si="0"/>
        <v>13000</v>
      </c>
      <c r="H24" s="69">
        <v>0</v>
      </c>
      <c r="I24" s="71">
        <f t="shared" si="22"/>
        <v>52000</v>
      </c>
      <c r="J24" s="70">
        <f t="shared" si="23"/>
        <v>1748.5</v>
      </c>
      <c r="K24" s="70">
        <f t="shared" si="24"/>
        <v>3497</v>
      </c>
      <c r="L24" s="70">
        <f t="shared" si="25"/>
        <v>5245.5</v>
      </c>
      <c r="M24" s="70">
        <f t="shared" si="26"/>
        <v>6994</v>
      </c>
      <c r="N24" s="85">
        <f t="shared" si="27"/>
        <v>17485</v>
      </c>
      <c r="O24" s="71">
        <f t="shared" si="28"/>
        <v>69485</v>
      </c>
      <c r="Q24" s="70">
        <f t="shared" si="29"/>
        <v>96654.27509293679</v>
      </c>
      <c r="R24" s="57">
        <f t="shared" si="30"/>
        <v>0.31516413030398849</v>
      </c>
      <c r="S24" s="70">
        <f t="shared" si="31"/>
        <v>30461.96054982788</v>
      </c>
      <c r="T24" s="69">
        <f t="shared" si="32"/>
        <v>43461.960549827883</v>
      </c>
      <c r="U24" s="71">
        <f t="shared" si="33"/>
        <v>71999</v>
      </c>
      <c r="V24" s="71">
        <f t="shared" si="34"/>
        <v>2514</v>
      </c>
    </row>
    <row r="25" spans="1:22">
      <c r="A25" s="55">
        <v>14</v>
      </c>
      <c r="B25" s="69">
        <v>12000</v>
      </c>
      <c r="C25" s="58">
        <v>0.108</v>
      </c>
      <c r="D25" s="69">
        <f t="shared" si="21"/>
        <v>12000</v>
      </c>
      <c r="E25" s="69">
        <f t="shared" si="0"/>
        <v>12000</v>
      </c>
      <c r="F25" s="69">
        <f t="shared" si="0"/>
        <v>12000</v>
      </c>
      <c r="G25" s="69">
        <f t="shared" si="0"/>
        <v>12000</v>
      </c>
      <c r="H25" s="69">
        <v>0</v>
      </c>
      <c r="I25" s="71">
        <f t="shared" si="22"/>
        <v>48000</v>
      </c>
      <c r="J25" s="70">
        <f t="shared" si="23"/>
        <v>1296</v>
      </c>
      <c r="K25" s="70">
        <f t="shared" si="24"/>
        <v>2592</v>
      </c>
      <c r="L25" s="70">
        <f t="shared" si="25"/>
        <v>3888</v>
      </c>
      <c r="M25" s="70">
        <f t="shared" si="26"/>
        <v>5184</v>
      </c>
      <c r="N25" s="85">
        <f t="shared" si="27"/>
        <v>12960</v>
      </c>
      <c r="O25" s="71">
        <f t="shared" si="28"/>
        <v>60960</v>
      </c>
      <c r="Q25" s="70">
        <f t="shared" si="29"/>
        <v>111111.11111111111</v>
      </c>
      <c r="R25" s="57">
        <f t="shared" si="30"/>
        <v>0.2648419471351493</v>
      </c>
      <c r="S25" s="70">
        <f t="shared" si="31"/>
        <v>29426.883015016589</v>
      </c>
      <c r="T25" s="69">
        <f t="shared" si="32"/>
        <v>41426.883015016589</v>
      </c>
      <c r="U25" s="71">
        <f t="shared" si="33"/>
        <v>62437</v>
      </c>
      <c r="V25" s="71">
        <f t="shared" si="34"/>
        <v>1477</v>
      </c>
    </row>
    <row r="26" spans="1:22">
      <c r="A26" s="55">
        <v>15</v>
      </c>
      <c r="B26" s="69">
        <v>11000</v>
      </c>
      <c r="C26" s="58">
        <v>7.7100000000000002E-2</v>
      </c>
      <c r="D26" s="69">
        <f t="shared" si="21"/>
        <v>11000</v>
      </c>
      <c r="E26" s="69">
        <f t="shared" si="0"/>
        <v>11000</v>
      </c>
      <c r="F26" s="69">
        <f t="shared" si="0"/>
        <v>11000</v>
      </c>
      <c r="G26" s="69">
        <f t="shared" si="0"/>
        <v>11000</v>
      </c>
      <c r="H26" s="69">
        <v>0</v>
      </c>
      <c r="I26" s="71">
        <f t="shared" si="22"/>
        <v>44000</v>
      </c>
      <c r="J26" s="70">
        <f t="shared" si="23"/>
        <v>848.1</v>
      </c>
      <c r="K26" s="70">
        <f t="shared" si="24"/>
        <v>1696.2</v>
      </c>
      <c r="L26" s="70">
        <f t="shared" si="25"/>
        <v>2544.3000000000002</v>
      </c>
      <c r="M26" s="70">
        <f t="shared" si="26"/>
        <v>3392.4</v>
      </c>
      <c r="N26" s="85">
        <f t="shared" si="27"/>
        <v>8481</v>
      </c>
      <c r="O26" s="71">
        <f t="shared" si="28"/>
        <v>52481</v>
      </c>
      <c r="Q26" s="70">
        <f t="shared" si="29"/>
        <v>142671.85473411155</v>
      </c>
      <c r="R26" s="57">
        <f t="shared" si="30"/>
        <v>0.19973850271893534</v>
      </c>
      <c r="S26" s="70">
        <f t="shared" si="31"/>
        <v>28497.062644724887</v>
      </c>
      <c r="T26" s="69">
        <f t="shared" si="32"/>
        <v>39497.062644724887</v>
      </c>
      <c r="U26" s="71">
        <f t="shared" si="33"/>
        <v>53160</v>
      </c>
      <c r="V26" s="71">
        <f t="shared" si="34"/>
        <v>679</v>
      </c>
    </row>
    <row r="27" spans="1:22">
      <c r="A27" s="55">
        <v>16</v>
      </c>
      <c r="B27" s="69">
        <v>10000</v>
      </c>
      <c r="C27" s="58">
        <v>7.1199999999999999E-2</v>
      </c>
      <c r="D27" s="69">
        <f t="shared" si="21"/>
        <v>10000</v>
      </c>
      <c r="E27" s="69">
        <f t="shared" si="0"/>
        <v>10000</v>
      </c>
      <c r="F27" s="69">
        <f t="shared" si="0"/>
        <v>10000</v>
      </c>
      <c r="G27" s="69">
        <f t="shared" si="0"/>
        <v>10000</v>
      </c>
      <c r="H27" s="69">
        <v>0</v>
      </c>
      <c r="I27" s="71">
        <f t="shared" si="22"/>
        <v>40000</v>
      </c>
      <c r="J27" s="70">
        <f t="shared" si="23"/>
        <v>712</v>
      </c>
      <c r="K27" s="70">
        <f t="shared" si="24"/>
        <v>1424</v>
      </c>
      <c r="L27" s="70">
        <f t="shared" si="25"/>
        <v>2136</v>
      </c>
      <c r="M27" s="70">
        <f t="shared" si="26"/>
        <v>2848</v>
      </c>
      <c r="N27" s="85">
        <f t="shared" si="27"/>
        <v>7120</v>
      </c>
      <c r="O27" s="71">
        <f t="shared" si="28"/>
        <v>47120</v>
      </c>
      <c r="Q27" s="70">
        <f t="shared" si="29"/>
        <v>140449.4382022472</v>
      </c>
      <c r="R27" s="57">
        <f t="shared" si="30"/>
        <v>0.18644239716698208</v>
      </c>
      <c r="S27" s="70">
        <f t="shared" si="31"/>
        <v>26185.729939182878</v>
      </c>
      <c r="T27" s="69">
        <f t="shared" si="32"/>
        <v>36185.729939182878</v>
      </c>
      <c r="U27" s="71">
        <f t="shared" si="33"/>
        <v>47645</v>
      </c>
      <c r="V27" s="71">
        <f t="shared" si="34"/>
        <v>525</v>
      </c>
    </row>
    <row r="28" spans="1:22">
      <c r="A28" s="55">
        <v>17</v>
      </c>
      <c r="B28" s="69">
        <v>9000</v>
      </c>
      <c r="C28" s="58">
        <v>0.1855</v>
      </c>
      <c r="D28" s="69">
        <f t="shared" si="21"/>
        <v>9000</v>
      </c>
      <c r="E28" s="69">
        <f t="shared" si="21"/>
        <v>9000</v>
      </c>
      <c r="F28" s="69">
        <f t="shared" si="21"/>
        <v>9000</v>
      </c>
      <c r="G28" s="69">
        <f t="shared" si="21"/>
        <v>9000</v>
      </c>
      <c r="H28" s="69">
        <v>0</v>
      </c>
      <c r="I28" s="71">
        <f t="shared" si="22"/>
        <v>36000</v>
      </c>
      <c r="J28" s="70">
        <f t="shared" si="23"/>
        <v>1669.5</v>
      </c>
      <c r="K28" s="70">
        <f t="shared" si="24"/>
        <v>3339</v>
      </c>
      <c r="L28" s="70">
        <f t="shared" si="25"/>
        <v>5008.5</v>
      </c>
      <c r="M28" s="70">
        <f t="shared" si="26"/>
        <v>6678</v>
      </c>
      <c r="N28" s="85">
        <f t="shared" si="27"/>
        <v>16695</v>
      </c>
      <c r="O28" s="71">
        <f t="shared" si="28"/>
        <v>52695</v>
      </c>
      <c r="Q28" s="70">
        <f t="shared" si="29"/>
        <v>48517.520215633427</v>
      </c>
      <c r="R28" s="57">
        <f t="shared" si="30"/>
        <v>0.3998009204624724</v>
      </c>
      <c r="S28" s="70">
        <f t="shared" si="31"/>
        <v>19397.349240766856</v>
      </c>
      <c r="T28" s="69">
        <f t="shared" si="32"/>
        <v>28397.349240766856</v>
      </c>
      <c r="U28" s="71">
        <f t="shared" si="33"/>
        <v>56090</v>
      </c>
      <c r="V28" s="71">
        <f t="shared" si="34"/>
        <v>3395</v>
      </c>
    </row>
    <row r="29" spans="1:22">
      <c r="A29" s="55">
        <v>18</v>
      </c>
      <c r="B29" s="69">
        <v>8000</v>
      </c>
      <c r="C29" s="58">
        <v>0.17469999999999999</v>
      </c>
      <c r="D29" s="69">
        <f t="shared" si="21"/>
        <v>8000</v>
      </c>
      <c r="E29" s="69">
        <f t="shared" si="21"/>
        <v>8000</v>
      </c>
      <c r="F29" s="69">
        <f t="shared" si="21"/>
        <v>8000</v>
      </c>
      <c r="G29" s="69">
        <f t="shared" si="21"/>
        <v>8000</v>
      </c>
      <c r="H29" s="69">
        <v>0</v>
      </c>
      <c r="I29" s="71">
        <f t="shared" si="22"/>
        <v>32000</v>
      </c>
      <c r="J29" s="70">
        <f t="shared" si="23"/>
        <v>1397.6</v>
      </c>
      <c r="K29" s="70">
        <f t="shared" si="24"/>
        <v>2795.2</v>
      </c>
      <c r="L29" s="70">
        <f t="shared" si="25"/>
        <v>4192.8</v>
      </c>
      <c r="M29" s="70">
        <f t="shared" si="26"/>
        <v>5590.4</v>
      </c>
      <c r="N29" s="85">
        <f t="shared" si="27"/>
        <v>13975.999999999998</v>
      </c>
      <c r="O29" s="71">
        <f t="shared" si="28"/>
        <v>45976</v>
      </c>
      <c r="Q29" s="70">
        <f t="shared" si="29"/>
        <v>45792.787635947338</v>
      </c>
      <c r="R29" s="57">
        <f t="shared" si="30"/>
        <v>0.38309385859209399</v>
      </c>
      <c r="S29" s="70">
        <f t="shared" si="31"/>
        <v>17542.9357111434</v>
      </c>
      <c r="T29" s="69">
        <f t="shared" si="32"/>
        <v>25542.9357111434</v>
      </c>
      <c r="U29" s="71">
        <f t="shared" si="33"/>
        <v>48638</v>
      </c>
      <c r="V29" s="71">
        <f t="shared" si="34"/>
        <v>2662</v>
      </c>
    </row>
    <row r="30" spans="1:22">
      <c r="A30" s="55">
        <v>19</v>
      </c>
      <c r="B30" s="69">
        <v>7000</v>
      </c>
      <c r="C30" s="58">
        <v>5.8299999999999998E-2</v>
      </c>
      <c r="D30" s="69">
        <f t="shared" si="21"/>
        <v>7000</v>
      </c>
      <c r="E30" s="69">
        <f t="shared" si="21"/>
        <v>7000</v>
      </c>
      <c r="F30" s="69">
        <f t="shared" si="21"/>
        <v>7000</v>
      </c>
      <c r="G30" s="69">
        <f t="shared" si="21"/>
        <v>7000</v>
      </c>
      <c r="H30" s="69">
        <v>0</v>
      </c>
      <c r="I30" s="71">
        <f t="shared" si="22"/>
        <v>28000</v>
      </c>
      <c r="J30" s="70">
        <f t="shared" si="23"/>
        <v>408.09999999999997</v>
      </c>
      <c r="K30" s="70">
        <f t="shared" si="24"/>
        <v>816.19999999999993</v>
      </c>
      <c r="L30" s="70">
        <f t="shared" si="25"/>
        <v>1224.3</v>
      </c>
      <c r="M30" s="70">
        <f t="shared" si="26"/>
        <v>1632.3999999999999</v>
      </c>
      <c r="N30" s="85">
        <f t="shared" si="27"/>
        <v>4081</v>
      </c>
      <c r="O30" s="71">
        <f t="shared" si="28"/>
        <v>32081</v>
      </c>
      <c r="Q30" s="70">
        <f t="shared" si="29"/>
        <v>120068.61063464837</v>
      </c>
      <c r="R30" s="57">
        <f t="shared" si="30"/>
        <v>0.1563280471102485</v>
      </c>
      <c r="S30" s="70">
        <f t="shared" si="31"/>
        <v>18770.091419755394</v>
      </c>
      <c r="T30" s="69">
        <f t="shared" si="32"/>
        <v>25770.091419755394</v>
      </c>
      <c r="U30" s="71">
        <f t="shared" si="33"/>
        <v>32326</v>
      </c>
      <c r="V30" s="71">
        <f t="shared" si="34"/>
        <v>245</v>
      </c>
    </row>
    <row r="31" spans="1:22">
      <c r="A31" s="55">
        <v>20</v>
      </c>
      <c r="B31" s="69">
        <v>6000</v>
      </c>
      <c r="C31" s="58">
        <v>0.15110000000000001</v>
      </c>
      <c r="D31" s="69">
        <f t="shared" si="21"/>
        <v>6000</v>
      </c>
      <c r="E31" s="69">
        <f t="shared" si="21"/>
        <v>6000</v>
      </c>
      <c r="F31" s="69">
        <f t="shared" si="21"/>
        <v>6000</v>
      </c>
      <c r="G31" s="69">
        <f t="shared" si="21"/>
        <v>6000</v>
      </c>
      <c r="H31" s="69">
        <v>0</v>
      </c>
      <c r="I31" s="71">
        <f t="shared" si="22"/>
        <v>24000</v>
      </c>
      <c r="J31" s="70">
        <f t="shared" si="23"/>
        <v>906.6</v>
      </c>
      <c r="K31" s="70">
        <f t="shared" si="24"/>
        <v>1813.2</v>
      </c>
      <c r="L31" s="70">
        <f t="shared" si="25"/>
        <v>2719.8</v>
      </c>
      <c r="M31" s="70">
        <f t="shared" si="26"/>
        <v>3626.4</v>
      </c>
      <c r="N31" s="85">
        <f t="shared" si="27"/>
        <v>9066</v>
      </c>
      <c r="O31" s="71">
        <f t="shared" si="28"/>
        <v>33066</v>
      </c>
      <c r="Q31" s="70">
        <f t="shared" si="29"/>
        <v>39708.802117802778</v>
      </c>
      <c r="R31" s="57">
        <f t="shared" si="30"/>
        <v>0.3443669495214059</v>
      </c>
      <c r="S31" s="70">
        <f t="shared" si="31"/>
        <v>13674.399054456884</v>
      </c>
      <c r="T31" s="69">
        <f t="shared" si="32"/>
        <v>19674.399054456884</v>
      </c>
      <c r="U31" s="71">
        <f t="shared" si="33"/>
        <v>34542</v>
      </c>
      <c r="V31" s="71">
        <f t="shared" si="34"/>
        <v>1476</v>
      </c>
    </row>
    <row r="32" spans="1:22">
      <c r="A32" s="55">
        <v>21</v>
      </c>
      <c r="B32" s="69">
        <v>5000</v>
      </c>
      <c r="C32" s="58">
        <v>0.14249999999999999</v>
      </c>
      <c r="D32" s="69">
        <f t="shared" si="21"/>
        <v>5000</v>
      </c>
      <c r="E32" s="69">
        <f t="shared" si="21"/>
        <v>5000</v>
      </c>
      <c r="F32" s="69">
        <f t="shared" si="21"/>
        <v>5000</v>
      </c>
      <c r="G32" s="69">
        <f t="shared" si="21"/>
        <v>5000</v>
      </c>
      <c r="H32" s="69">
        <v>0</v>
      </c>
      <c r="I32" s="71">
        <f t="shared" si="22"/>
        <v>20000</v>
      </c>
      <c r="J32" s="70">
        <f t="shared" si="23"/>
        <v>712.49999999999989</v>
      </c>
      <c r="K32" s="70">
        <f t="shared" si="24"/>
        <v>1424.9999999999998</v>
      </c>
      <c r="L32" s="70">
        <f t="shared" si="25"/>
        <v>2137.5</v>
      </c>
      <c r="M32" s="70">
        <f t="shared" si="26"/>
        <v>2849.9999999999995</v>
      </c>
      <c r="N32" s="85">
        <f t="shared" si="27"/>
        <v>7125</v>
      </c>
      <c r="O32" s="71">
        <f t="shared" si="28"/>
        <v>27125</v>
      </c>
      <c r="Q32" s="70">
        <f t="shared" si="29"/>
        <v>35087.719298245618</v>
      </c>
      <c r="R32" s="57">
        <f t="shared" si="30"/>
        <v>0.32944968050529921</v>
      </c>
      <c r="S32" s="70">
        <f t="shared" si="31"/>
        <v>11559.63791246664</v>
      </c>
      <c r="T32" s="69">
        <f t="shared" si="32"/>
        <v>16559.637912466642</v>
      </c>
      <c r="U32" s="71">
        <f t="shared" si="33"/>
        <v>28215</v>
      </c>
      <c r="V32" s="71">
        <f t="shared" si="34"/>
        <v>1090</v>
      </c>
    </row>
    <row r="33" spans="1:22">
      <c r="A33" s="55">
        <v>22</v>
      </c>
      <c r="B33" s="69">
        <v>4000</v>
      </c>
      <c r="C33" s="58">
        <v>0.1245</v>
      </c>
      <c r="D33" s="69">
        <f t="shared" si="21"/>
        <v>4000</v>
      </c>
      <c r="E33" s="69">
        <f t="shared" si="21"/>
        <v>4000</v>
      </c>
      <c r="F33" s="69">
        <f t="shared" si="21"/>
        <v>4000</v>
      </c>
      <c r="G33" s="69">
        <f t="shared" si="21"/>
        <v>4000</v>
      </c>
      <c r="H33" s="69">
        <v>0</v>
      </c>
      <c r="I33" s="71">
        <f t="shared" si="22"/>
        <v>16000</v>
      </c>
      <c r="J33" s="70">
        <f t="shared" si="23"/>
        <v>498</v>
      </c>
      <c r="K33" s="70">
        <f t="shared" si="24"/>
        <v>996</v>
      </c>
      <c r="L33" s="70">
        <f t="shared" si="25"/>
        <v>1494</v>
      </c>
      <c r="M33" s="70">
        <f t="shared" si="26"/>
        <v>1992</v>
      </c>
      <c r="N33" s="85">
        <f t="shared" si="27"/>
        <v>4980</v>
      </c>
      <c r="O33" s="71">
        <f t="shared" si="28"/>
        <v>20980</v>
      </c>
      <c r="Q33" s="70">
        <f t="shared" si="29"/>
        <v>32128.5140562249</v>
      </c>
      <c r="R33" s="57">
        <f t="shared" si="30"/>
        <v>0.29673076278288935</v>
      </c>
      <c r="S33" s="70">
        <f t="shared" si="31"/>
        <v>9533.5184829843965</v>
      </c>
      <c r="T33" s="69">
        <f t="shared" si="32"/>
        <v>13533.518482984397</v>
      </c>
      <c r="U33" s="71">
        <f t="shared" si="33"/>
        <v>21640</v>
      </c>
      <c r="V33" s="71">
        <f t="shared" si="34"/>
        <v>660</v>
      </c>
    </row>
    <row r="34" spans="1:22">
      <c r="A34" s="55">
        <v>23</v>
      </c>
      <c r="B34" s="69">
        <v>3000</v>
      </c>
      <c r="C34" s="58">
        <v>0.1993</v>
      </c>
      <c r="D34" s="69">
        <f t="shared" si="21"/>
        <v>3000</v>
      </c>
      <c r="E34" s="69">
        <f t="shared" si="21"/>
        <v>3000</v>
      </c>
      <c r="F34" s="69">
        <f t="shared" si="21"/>
        <v>3000</v>
      </c>
      <c r="G34" s="69">
        <f t="shared" si="21"/>
        <v>3000</v>
      </c>
      <c r="H34" s="69">
        <v>0</v>
      </c>
      <c r="I34" s="71">
        <f t="shared" si="22"/>
        <v>12000</v>
      </c>
      <c r="J34" s="70">
        <f t="shared" si="23"/>
        <v>597.9</v>
      </c>
      <c r="K34" s="70">
        <f t="shared" si="24"/>
        <v>1195.8</v>
      </c>
      <c r="L34" s="70">
        <f t="shared" si="25"/>
        <v>1793.7</v>
      </c>
      <c r="M34" s="70">
        <f t="shared" si="26"/>
        <v>2391.6</v>
      </c>
      <c r="N34" s="85">
        <f t="shared" si="27"/>
        <v>5979</v>
      </c>
      <c r="O34" s="71">
        <f t="shared" si="28"/>
        <v>17979</v>
      </c>
      <c r="Q34" s="70">
        <f t="shared" si="29"/>
        <v>15052.684395383843</v>
      </c>
      <c r="R34" s="57">
        <f t="shared" si="30"/>
        <v>0.42028238214504721</v>
      </c>
      <c r="S34" s="70">
        <f t="shared" si="31"/>
        <v>6326.3780553695015</v>
      </c>
      <c r="T34" s="69">
        <f t="shared" si="32"/>
        <v>9326.3780553695015</v>
      </c>
      <c r="U34" s="71">
        <f t="shared" si="33"/>
        <v>19294</v>
      </c>
      <c r="V34" s="71">
        <f t="shared" si="34"/>
        <v>1315</v>
      </c>
    </row>
    <row r="35" spans="1:22">
      <c r="A35" s="55">
        <v>24</v>
      </c>
      <c r="B35" s="69">
        <v>2000</v>
      </c>
      <c r="C35" s="58">
        <v>0.1709</v>
      </c>
      <c r="D35" s="69">
        <f t="shared" si="21"/>
        <v>2000</v>
      </c>
      <c r="E35" s="69">
        <f t="shared" si="21"/>
        <v>2000</v>
      </c>
      <c r="F35" s="69">
        <f t="shared" si="21"/>
        <v>2000</v>
      </c>
      <c r="G35" s="69">
        <f t="shared" si="21"/>
        <v>2000</v>
      </c>
      <c r="H35" s="69">
        <v>0</v>
      </c>
      <c r="I35" s="71">
        <f t="shared" si="22"/>
        <v>8000</v>
      </c>
      <c r="J35" s="70">
        <f t="shared" si="23"/>
        <v>341.8</v>
      </c>
      <c r="K35" s="70">
        <f t="shared" si="24"/>
        <v>683.6</v>
      </c>
      <c r="L35" s="70">
        <f t="shared" si="25"/>
        <v>1025.4000000000001</v>
      </c>
      <c r="M35" s="70">
        <f t="shared" si="26"/>
        <v>1367.2</v>
      </c>
      <c r="N35" s="85">
        <f t="shared" si="27"/>
        <v>3418</v>
      </c>
      <c r="O35" s="71">
        <f t="shared" si="28"/>
        <v>11418</v>
      </c>
      <c r="Q35" s="70">
        <f t="shared" si="29"/>
        <v>11702.750146284377</v>
      </c>
      <c r="R35" s="57">
        <f t="shared" si="30"/>
        <v>0.37706808483588083</v>
      </c>
      <c r="S35" s="70">
        <f t="shared" si="31"/>
        <v>4412.7335849722749</v>
      </c>
      <c r="T35" s="69">
        <f t="shared" si="32"/>
        <v>6412.7335849722749</v>
      </c>
      <c r="U35" s="71">
        <f t="shared" si="33"/>
        <v>12054</v>
      </c>
      <c r="V35" s="71">
        <f t="shared" si="34"/>
        <v>636</v>
      </c>
    </row>
    <row r="36" spans="1:22" ht="16.5" thickBot="1">
      <c r="A36" s="64">
        <v>25</v>
      </c>
      <c r="B36" s="72">
        <v>1000</v>
      </c>
      <c r="C36" s="73">
        <v>3.7199999999999997E-2</v>
      </c>
      <c r="D36" s="72">
        <f t="shared" si="21"/>
        <v>1000</v>
      </c>
      <c r="E36" s="72">
        <f t="shared" si="21"/>
        <v>1000</v>
      </c>
      <c r="F36" s="72">
        <f t="shared" si="21"/>
        <v>1000</v>
      </c>
      <c r="G36" s="72">
        <f t="shared" si="21"/>
        <v>1000</v>
      </c>
      <c r="H36" s="69">
        <v>0</v>
      </c>
      <c r="I36" s="76">
        <f t="shared" si="22"/>
        <v>4000</v>
      </c>
      <c r="J36" s="74">
        <f t="shared" si="23"/>
        <v>37.199999999999996</v>
      </c>
      <c r="K36" s="74">
        <f t="shared" si="24"/>
        <v>74.399999999999991</v>
      </c>
      <c r="L36" s="74">
        <f t="shared" si="25"/>
        <v>111.6</v>
      </c>
      <c r="M36" s="74">
        <f t="shared" si="26"/>
        <v>148.79999999999998</v>
      </c>
      <c r="N36" s="86">
        <f t="shared" si="27"/>
        <v>372</v>
      </c>
      <c r="O36" s="76">
        <f t="shared" si="28"/>
        <v>4372</v>
      </c>
      <c r="P36" s="75"/>
      <c r="Q36" s="74">
        <f t="shared" si="29"/>
        <v>26881.720430107529</v>
      </c>
      <c r="R36" s="75">
        <f t="shared" si="30"/>
        <v>0.10378444848020607</v>
      </c>
      <c r="S36" s="74">
        <f t="shared" si="31"/>
        <v>2789.9045290377976</v>
      </c>
      <c r="T36" s="72">
        <f t="shared" si="32"/>
        <v>3789.9045290377976</v>
      </c>
      <c r="U36" s="76">
        <f t="shared" si="33"/>
        <v>4386</v>
      </c>
      <c r="V36" s="76">
        <f t="shared" si="34"/>
        <v>14</v>
      </c>
    </row>
    <row r="37" spans="1:22">
      <c r="A37" s="55"/>
      <c r="B37" s="69"/>
      <c r="C37" s="69"/>
      <c r="D37" s="69"/>
      <c r="E37" s="69"/>
      <c r="F37" s="69"/>
      <c r="G37" s="69"/>
      <c r="H37" s="69"/>
      <c r="I37" s="71"/>
      <c r="J37" s="70"/>
      <c r="K37" s="70"/>
      <c r="L37" s="70"/>
      <c r="M37" s="70"/>
      <c r="N37" s="85"/>
      <c r="O37" s="71"/>
      <c r="Q37" s="70"/>
      <c r="S37" s="70"/>
      <c r="T37" s="69"/>
      <c r="U37" s="71"/>
      <c r="V37" s="71"/>
    </row>
    <row r="38" spans="1:22">
      <c r="A38" s="55"/>
      <c r="B38" s="69"/>
      <c r="D38" s="69"/>
      <c r="E38" s="69"/>
      <c r="F38" s="69"/>
      <c r="G38" s="69"/>
      <c r="H38" s="69"/>
      <c r="I38" s="71"/>
      <c r="J38" s="70"/>
      <c r="K38" s="70"/>
      <c r="L38" s="70"/>
      <c r="M38" s="70"/>
      <c r="N38" s="85"/>
      <c r="O38" s="71"/>
      <c r="Q38" s="70"/>
      <c r="S38" s="70"/>
      <c r="T38" s="69"/>
      <c r="U38" s="71"/>
      <c r="V38" s="71"/>
    </row>
    <row r="39" spans="1:22">
      <c r="C39" s="28"/>
      <c r="D39" s="29"/>
      <c r="E39" s="28"/>
      <c r="F39" s="29"/>
      <c r="G39" s="29"/>
      <c r="H39" s="32"/>
      <c r="I39" s="30"/>
      <c r="J39" s="32"/>
      <c r="K39" s="30"/>
      <c r="L39" s="30"/>
      <c r="M39" s="32"/>
      <c r="N39" s="85"/>
      <c r="O39" s="71"/>
      <c r="Q39" s="70"/>
      <c r="S39" s="70"/>
      <c r="T39" s="69"/>
      <c r="U39" s="71"/>
      <c r="V39" s="71"/>
    </row>
    <row r="40" spans="1:22">
      <c r="C40" s="34"/>
      <c r="D40" s="30"/>
      <c r="E40" s="34"/>
      <c r="F40" s="30"/>
      <c r="G40" s="30"/>
      <c r="H40" s="34"/>
      <c r="I40" s="87"/>
      <c r="J40" s="88"/>
      <c r="K40" s="34"/>
      <c r="L40" s="30"/>
      <c r="M40" s="34"/>
      <c r="N40" s="30"/>
      <c r="O40" s="30"/>
      <c r="P40" s="30"/>
      <c r="Q40" s="70"/>
      <c r="S40" s="70"/>
      <c r="T40" s="69"/>
      <c r="U40" s="71"/>
      <c r="V40" s="71"/>
    </row>
    <row r="41" spans="1:22">
      <c r="C41" s="30"/>
      <c r="D41" s="89"/>
      <c r="E41" s="89"/>
      <c r="F41" s="89"/>
      <c r="G41" s="89"/>
      <c r="H41" s="89"/>
      <c r="I41" s="87"/>
      <c r="J41" s="88"/>
      <c r="K41" s="88"/>
      <c r="L41" s="88"/>
      <c r="M41" s="88"/>
      <c r="N41" s="90"/>
      <c r="O41" s="87"/>
      <c r="P41" s="30"/>
      <c r="Q41" s="70"/>
      <c r="S41" s="70"/>
      <c r="T41" s="69"/>
      <c r="U41" s="71"/>
      <c r="V41" s="71"/>
    </row>
    <row r="42" spans="1:22">
      <c r="C42" s="30"/>
      <c r="D42" s="91"/>
      <c r="E42" s="30"/>
      <c r="F42" s="91"/>
      <c r="G42" s="30"/>
      <c r="H42" s="30"/>
      <c r="I42" s="91"/>
      <c r="J42" s="30"/>
      <c r="K42" s="30"/>
      <c r="L42" s="30"/>
      <c r="M42" s="30"/>
      <c r="N42" s="30"/>
      <c r="O42" s="30"/>
      <c r="P42" s="30"/>
    </row>
    <row r="43" spans="1:22">
      <c r="C43" s="30"/>
      <c r="D43" s="92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1:22">
      <c r="D44" s="58"/>
    </row>
    <row r="45" spans="1:22">
      <c r="D45" s="58"/>
    </row>
    <row r="46" spans="1:22">
      <c r="D46" s="58"/>
    </row>
    <row r="47" spans="1:22">
      <c r="D47" s="58"/>
    </row>
    <row r="48" spans="1:22">
      <c r="D48" s="58"/>
    </row>
    <row r="49" spans="4:4">
      <c r="D49" s="58"/>
    </row>
    <row r="50" spans="4:4">
      <c r="D50" s="92"/>
    </row>
    <row r="51" spans="4:4">
      <c r="D51" s="30"/>
    </row>
  </sheetData>
  <sortState ref="B12:B36">
    <sortCondition descending="1" ref="B12"/>
  </sortState>
  <mergeCells count="2">
    <mergeCell ref="D9:O9"/>
    <mergeCell ref="Q9:V9"/>
  </mergeCells>
  <phoneticPr fontId="4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/>
  </sheetViews>
  <sheetFormatPr baseColWidth="10" defaultRowHeight="15.75"/>
  <cols>
    <col min="1" max="1" width="7" style="55" customWidth="1"/>
    <col min="2" max="3" width="11.42578125" style="57"/>
    <col min="4" max="4" width="12.28515625" style="57" bestFit="1" customWidth="1"/>
    <col min="5" max="5" width="23" style="57" customWidth="1"/>
    <col min="6" max="16384" width="11.42578125" style="57"/>
  </cols>
  <sheetData>
    <row r="1" spans="1:8">
      <c r="B1" s="56" t="s">
        <v>6</v>
      </c>
    </row>
    <row r="2" spans="1:8">
      <c r="A2" s="55" t="s">
        <v>10</v>
      </c>
      <c r="B2" s="57" t="s">
        <v>74</v>
      </c>
    </row>
    <row r="3" spans="1:8">
      <c r="B3" s="57" t="s">
        <v>12</v>
      </c>
      <c r="G3" s="30"/>
      <c r="H3" s="30"/>
    </row>
    <row r="4" spans="1:8">
      <c r="B4" s="57" t="s">
        <v>53</v>
      </c>
      <c r="G4" s="30"/>
      <c r="H4" s="30"/>
    </row>
    <row r="6" spans="1:8" ht="20.25" thickBot="1">
      <c r="A6" s="64" t="s">
        <v>3</v>
      </c>
      <c r="B6" s="65" t="s">
        <v>13</v>
      </c>
      <c r="C6" s="66" t="s">
        <v>1</v>
      </c>
      <c r="D6" s="93" t="s">
        <v>149</v>
      </c>
      <c r="E6" s="82" t="s">
        <v>150</v>
      </c>
      <c r="F6" s="93" t="s">
        <v>80</v>
      </c>
    </row>
    <row r="7" spans="1:8" ht="18.75">
      <c r="A7" s="55">
        <v>1</v>
      </c>
      <c r="B7" s="69">
        <v>700000</v>
      </c>
      <c r="C7" s="58">
        <v>0.193</v>
      </c>
      <c r="D7" s="69">
        <f>B7/POWER(1+C7,6)</f>
        <v>242803.74331612591</v>
      </c>
      <c r="E7" s="57">
        <f>1-1/POWER(1+C7,6)</f>
        <v>0.65313750954839156</v>
      </c>
      <c r="F7" s="94">
        <f>ROUND(C7*D7/E7,0)</f>
        <v>71748</v>
      </c>
    </row>
    <row r="8" spans="1:8" ht="18.75">
      <c r="A8" s="55">
        <v>2</v>
      </c>
      <c r="B8" s="69">
        <v>800000</v>
      </c>
      <c r="C8" s="58">
        <v>0.1835</v>
      </c>
      <c r="D8" s="69">
        <f>B8/POWER(1+C8,6)</f>
        <v>291125.61125601147</v>
      </c>
      <c r="E8" s="57">
        <f>1-1/POWER(1+C8,6)</f>
        <v>0.63609298592998564</v>
      </c>
      <c r="F8" s="94">
        <f>ROUND(C8*D8/E8,0)</f>
        <v>83984</v>
      </c>
      <c r="H8" s="30"/>
    </row>
    <row r="9" spans="1:8" ht="18.75">
      <c r="A9" s="55">
        <v>3</v>
      </c>
      <c r="B9" s="69">
        <v>900000</v>
      </c>
      <c r="C9" s="58">
        <v>0.17879999999999999</v>
      </c>
      <c r="D9" s="69">
        <f t="shared" ref="D9:D31" si="0">B9/POWER(1+C9,6)</f>
        <v>335429.87965059147</v>
      </c>
      <c r="E9" s="57">
        <f t="shared" ref="E9:E31" si="1">1-1/POWER(1+C9,6)</f>
        <v>0.62730013372156501</v>
      </c>
      <c r="F9" s="94">
        <f t="shared" ref="F9:F31" si="2">ROUND(C9*D9/E9,0)</f>
        <v>95608</v>
      </c>
      <c r="H9" s="30"/>
    </row>
    <row r="10" spans="1:8" ht="18.75">
      <c r="A10" s="55">
        <v>4</v>
      </c>
      <c r="B10" s="69">
        <v>1000000</v>
      </c>
      <c r="C10" s="58">
        <v>0.1711</v>
      </c>
      <c r="D10" s="69">
        <f t="shared" si="0"/>
        <v>387646.72046441946</v>
      </c>
      <c r="E10" s="57">
        <f t="shared" si="1"/>
        <v>0.61235327953558061</v>
      </c>
      <c r="F10" s="94">
        <f t="shared" si="2"/>
        <v>108314</v>
      </c>
      <c r="H10" s="30"/>
    </row>
    <row r="11" spans="1:8" ht="18.75">
      <c r="A11" s="55">
        <v>5</v>
      </c>
      <c r="B11" s="69">
        <v>1100000</v>
      </c>
      <c r="C11" s="58">
        <v>0.16350000000000001</v>
      </c>
      <c r="D11" s="69">
        <f t="shared" si="0"/>
        <v>443398.64277374104</v>
      </c>
      <c r="E11" s="57">
        <f t="shared" si="1"/>
        <v>0.59691032475114447</v>
      </c>
      <c r="F11" s="94">
        <f t="shared" si="2"/>
        <v>121452</v>
      </c>
      <c r="H11" s="31"/>
    </row>
    <row r="12" spans="1:8" ht="18.75">
      <c r="A12" s="55">
        <v>6</v>
      </c>
      <c r="B12" s="69">
        <v>1200000</v>
      </c>
      <c r="C12" s="58">
        <v>0.1186</v>
      </c>
      <c r="D12" s="69">
        <f t="shared" si="0"/>
        <v>612537.04078659869</v>
      </c>
      <c r="E12" s="57">
        <f t="shared" si="1"/>
        <v>0.48955246601116775</v>
      </c>
      <c r="F12" s="94">
        <f t="shared" si="2"/>
        <v>148394</v>
      </c>
      <c r="H12" s="32"/>
    </row>
    <row r="13" spans="1:8" ht="18.75">
      <c r="A13" s="55">
        <v>7</v>
      </c>
      <c r="B13" s="69">
        <v>1300000</v>
      </c>
      <c r="C13" s="58">
        <v>0.1105</v>
      </c>
      <c r="D13" s="69">
        <f t="shared" si="0"/>
        <v>693157.57710747886</v>
      </c>
      <c r="E13" s="57">
        <f t="shared" si="1"/>
        <v>0.46680186376347776</v>
      </c>
      <c r="F13" s="94">
        <f t="shared" si="2"/>
        <v>164082</v>
      </c>
      <c r="H13" s="32"/>
    </row>
    <row r="14" spans="1:8" ht="18.75">
      <c r="A14" s="55">
        <v>8</v>
      </c>
      <c r="B14" s="69">
        <v>1400000</v>
      </c>
      <c r="C14" s="58">
        <v>0.1081</v>
      </c>
      <c r="D14" s="69">
        <f t="shared" si="0"/>
        <v>756230.7041473632</v>
      </c>
      <c r="E14" s="57">
        <f t="shared" si="1"/>
        <v>0.45983521132331195</v>
      </c>
      <c r="F14" s="94">
        <f t="shared" si="2"/>
        <v>177778</v>
      </c>
      <c r="H14" s="30"/>
    </row>
    <row r="15" spans="1:8" ht="18.75">
      <c r="A15" s="55">
        <v>9</v>
      </c>
      <c r="B15" s="69">
        <v>1500000</v>
      </c>
      <c r="C15" s="58">
        <v>0.1036</v>
      </c>
      <c r="D15" s="69">
        <f t="shared" si="0"/>
        <v>830273.36909955682</v>
      </c>
      <c r="E15" s="57">
        <f t="shared" si="1"/>
        <v>0.44648442060029547</v>
      </c>
      <c r="F15" s="94">
        <f t="shared" si="2"/>
        <v>192652</v>
      </c>
      <c r="H15" s="33"/>
    </row>
    <row r="16" spans="1:8" ht="18.75">
      <c r="A16" s="55">
        <v>10</v>
      </c>
      <c r="B16" s="69">
        <v>1600000</v>
      </c>
      <c r="C16" s="58">
        <v>9.3799999999999994E-2</v>
      </c>
      <c r="D16" s="69">
        <f t="shared" si="0"/>
        <v>934313.16516993928</v>
      </c>
      <c r="E16" s="57">
        <f t="shared" si="1"/>
        <v>0.41605427176878795</v>
      </c>
      <c r="F16" s="94">
        <f t="shared" si="2"/>
        <v>210642</v>
      </c>
      <c r="H16" s="30"/>
    </row>
    <row r="17" spans="1:8" ht="18.75">
      <c r="A17" s="55">
        <v>11</v>
      </c>
      <c r="B17" s="69">
        <v>1700000</v>
      </c>
      <c r="C17" s="58">
        <v>7.0199999999999999E-2</v>
      </c>
      <c r="D17" s="69">
        <f t="shared" si="0"/>
        <v>1131512.201709542</v>
      </c>
      <c r="E17" s="57">
        <f t="shared" si="1"/>
        <v>0.33440458722968114</v>
      </c>
      <c r="F17" s="94">
        <f t="shared" si="2"/>
        <v>237533</v>
      </c>
      <c r="H17" s="28"/>
    </row>
    <row r="18" spans="1:8" ht="18.75">
      <c r="A18" s="55">
        <v>12</v>
      </c>
      <c r="B18" s="69">
        <v>1800000</v>
      </c>
      <c r="C18" s="58">
        <v>6.2399999999999997E-2</v>
      </c>
      <c r="D18" s="69">
        <f t="shared" si="0"/>
        <v>1251826.4770435486</v>
      </c>
      <c r="E18" s="57">
        <f t="shared" si="1"/>
        <v>0.30454084608691745</v>
      </c>
      <c r="F18" s="94">
        <f t="shared" si="2"/>
        <v>256498</v>
      </c>
      <c r="H18" s="34"/>
    </row>
    <row r="19" spans="1:8" ht="18.75">
      <c r="A19" s="55">
        <v>13</v>
      </c>
      <c r="B19" s="69">
        <v>1900000</v>
      </c>
      <c r="C19" s="58">
        <v>6.0600000000000001E-2</v>
      </c>
      <c r="D19" s="69">
        <f t="shared" si="0"/>
        <v>1334885.0347435691</v>
      </c>
      <c r="E19" s="57">
        <f t="shared" si="1"/>
        <v>0.29742892908233209</v>
      </c>
      <c r="F19" s="94">
        <f t="shared" si="2"/>
        <v>271978</v>
      </c>
      <c r="H19" s="30"/>
    </row>
    <row r="20" spans="1:8" ht="18.75">
      <c r="A20" s="55">
        <v>14</v>
      </c>
      <c r="B20" s="69">
        <v>2000000</v>
      </c>
      <c r="C20" s="58">
        <v>5.91E-2</v>
      </c>
      <c r="D20" s="69">
        <f t="shared" si="0"/>
        <v>1417125.0906951542</v>
      </c>
      <c r="E20" s="57">
        <f t="shared" si="1"/>
        <v>0.29143745465242299</v>
      </c>
      <c r="F20" s="94">
        <f t="shared" si="2"/>
        <v>287376</v>
      </c>
      <c r="H20" s="30"/>
    </row>
    <row r="21" spans="1:8" ht="18.75">
      <c r="A21" s="55">
        <v>15</v>
      </c>
      <c r="B21" s="69">
        <v>2100000</v>
      </c>
      <c r="C21" s="58">
        <v>5.74E-2</v>
      </c>
      <c r="D21" s="69">
        <f t="shared" si="0"/>
        <v>1502392.6778344242</v>
      </c>
      <c r="E21" s="57">
        <f t="shared" si="1"/>
        <v>0.2845749153169409</v>
      </c>
      <c r="F21" s="94">
        <f t="shared" si="2"/>
        <v>303039</v>
      </c>
      <c r="H21" s="30"/>
    </row>
    <row r="22" spans="1:8" ht="18.75">
      <c r="A22" s="55">
        <v>16</v>
      </c>
      <c r="B22" s="69">
        <v>2200000</v>
      </c>
      <c r="C22" s="58">
        <v>5.6899999999999999E-2</v>
      </c>
      <c r="D22" s="69">
        <f t="shared" si="0"/>
        <v>1578408.0726511839</v>
      </c>
      <c r="E22" s="57">
        <f t="shared" si="1"/>
        <v>0.28254178515855277</v>
      </c>
      <c r="F22" s="94">
        <f t="shared" si="2"/>
        <v>317870</v>
      </c>
      <c r="H22" s="34"/>
    </row>
    <row r="23" spans="1:8" ht="18.75">
      <c r="A23" s="55">
        <v>17</v>
      </c>
      <c r="B23" s="69">
        <v>2300000</v>
      </c>
      <c r="C23" s="58">
        <v>5.6500000000000002E-2</v>
      </c>
      <c r="D23" s="69">
        <f t="shared" si="0"/>
        <v>1653906.0188997884</v>
      </c>
      <c r="E23" s="57">
        <f t="shared" si="1"/>
        <v>0.2809104265653094</v>
      </c>
      <c r="F23" s="94">
        <f t="shared" si="2"/>
        <v>332653</v>
      </c>
      <c r="H23" s="30"/>
    </row>
    <row r="24" spans="1:8" ht="18.75">
      <c r="A24" s="55">
        <v>18</v>
      </c>
      <c r="B24" s="69">
        <v>2400000</v>
      </c>
      <c r="C24" s="58">
        <v>5.6100000000000004E-2</v>
      </c>
      <c r="D24" s="69">
        <f t="shared" si="0"/>
        <v>1729740.6270902436</v>
      </c>
      <c r="E24" s="57">
        <f t="shared" si="1"/>
        <v>0.2792747387123985</v>
      </c>
      <c r="F24" s="94">
        <f t="shared" si="2"/>
        <v>347466</v>
      </c>
      <c r="H24" s="32"/>
    </row>
    <row r="25" spans="1:8" ht="18.75">
      <c r="A25" s="55">
        <v>19</v>
      </c>
      <c r="B25" s="69">
        <v>2500000</v>
      </c>
      <c r="C25" s="58">
        <v>5.4200000000000005E-2</v>
      </c>
      <c r="D25" s="69">
        <f t="shared" si="0"/>
        <v>1821385.7623335088</v>
      </c>
      <c r="E25" s="57">
        <f t="shared" si="1"/>
        <v>0.27144569506659644</v>
      </c>
      <c r="F25" s="94">
        <f t="shared" si="2"/>
        <v>363679</v>
      </c>
      <c r="H25" s="30"/>
    </row>
    <row r="26" spans="1:8" ht="18.75">
      <c r="A26" s="55">
        <v>20</v>
      </c>
      <c r="B26" s="69">
        <v>2600000</v>
      </c>
      <c r="C26" s="58">
        <v>5.4200000000000005E-2</v>
      </c>
      <c r="D26" s="69">
        <f t="shared" si="0"/>
        <v>1894241.1928268492</v>
      </c>
      <c r="E26" s="57">
        <f t="shared" si="1"/>
        <v>0.27144569506659644</v>
      </c>
      <c r="F26" s="94">
        <f t="shared" si="2"/>
        <v>378226</v>
      </c>
      <c r="H26" s="30"/>
    </row>
    <row r="27" spans="1:8" ht="18.75">
      <c r="A27" s="55">
        <v>21</v>
      </c>
      <c r="B27" s="69">
        <v>2700000</v>
      </c>
      <c r="C27" s="58">
        <v>5.3500000000000006E-2</v>
      </c>
      <c r="D27" s="69">
        <f t="shared" si="0"/>
        <v>1974951.9075275518</v>
      </c>
      <c r="E27" s="57">
        <f t="shared" si="1"/>
        <v>0.2685363305453512</v>
      </c>
      <c r="F27" s="94">
        <f t="shared" si="2"/>
        <v>393466</v>
      </c>
      <c r="H27" s="30"/>
    </row>
    <row r="28" spans="1:8" ht="18.75">
      <c r="A28" s="55">
        <v>22</v>
      </c>
      <c r="B28" s="69">
        <v>2800000</v>
      </c>
      <c r="C28" s="58">
        <v>5.28E-2</v>
      </c>
      <c r="D28" s="69">
        <f t="shared" si="0"/>
        <v>2056282.4727951761</v>
      </c>
      <c r="E28" s="57">
        <f t="shared" si="1"/>
        <v>0.26561340257315136</v>
      </c>
      <c r="F28" s="94">
        <f t="shared" si="2"/>
        <v>408758</v>
      </c>
      <c r="H28" s="30"/>
    </row>
    <row r="29" spans="1:8" ht="18.75">
      <c r="A29" s="55">
        <v>23</v>
      </c>
      <c r="B29" s="69">
        <v>2900000</v>
      </c>
      <c r="C29" s="58">
        <v>5.2400000000000002E-2</v>
      </c>
      <c r="D29" s="69">
        <f t="shared" si="0"/>
        <v>2134582.5825690418</v>
      </c>
      <c r="E29" s="57">
        <f t="shared" si="1"/>
        <v>0.26393704049343392</v>
      </c>
      <c r="F29" s="94">
        <f t="shared" si="2"/>
        <v>423783</v>
      </c>
    </row>
    <row r="30" spans="1:8" ht="18.75">
      <c r="A30" s="55">
        <v>24</v>
      </c>
      <c r="B30" s="69">
        <v>3000000</v>
      </c>
      <c r="C30" s="58">
        <v>5.2200000000000003E-2</v>
      </c>
      <c r="D30" s="69">
        <f t="shared" si="0"/>
        <v>2210708.4433907489</v>
      </c>
      <c r="E30" s="57">
        <f t="shared" si="1"/>
        <v>0.26309718553641703</v>
      </c>
      <c r="F30" s="94">
        <f t="shared" si="2"/>
        <v>438617</v>
      </c>
    </row>
    <row r="31" spans="1:8" ht="19.5" thickBot="1">
      <c r="A31" s="64">
        <v>25</v>
      </c>
      <c r="B31" s="72">
        <v>3100000</v>
      </c>
      <c r="C31" s="73">
        <v>5.1900000000000002E-2</v>
      </c>
      <c r="D31" s="72">
        <f t="shared" si="0"/>
        <v>2288310.5516255349</v>
      </c>
      <c r="E31" s="75">
        <f t="shared" si="1"/>
        <v>0.2618353059272468</v>
      </c>
      <c r="F31" s="95">
        <f t="shared" si="2"/>
        <v>453580</v>
      </c>
    </row>
  </sheetData>
  <sortState ref="C7:C31">
    <sortCondition descending="1" ref="C7"/>
  </sortState>
  <phoneticPr fontId="4" type="noConversion"/>
  <pageMargins left="0.35" right="0.35" top="0.17" bottom="0.16" header="0" footer="0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8"/>
  <sheetViews>
    <sheetView workbookViewId="0"/>
  </sheetViews>
  <sheetFormatPr baseColWidth="10" defaultRowHeight="15.75"/>
  <cols>
    <col min="1" max="1" width="7" style="55" customWidth="1"/>
    <col min="2" max="2" width="10.85546875" style="57" customWidth="1"/>
    <col min="3" max="3" width="12.85546875" style="57" customWidth="1"/>
    <col min="4" max="4" width="13.28515625" style="57" customWidth="1"/>
    <col min="5" max="5" width="12.85546875" style="57" customWidth="1"/>
    <col min="6" max="6" width="5.85546875" style="57" customWidth="1"/>
    <col min="7" max="7" width="6.85546875" style="57" customWidth="1"/>
    <col min="8" max="8" width="18.85546875" style="57" customWidth="1"/>
    <col min="9" max="9" width="20.85546875" style="57" customWidth="1"/>
    <col min="10" max="10" width="14.5703125" style="57" customWidth="1"/>
    <col min="11" max="11" width="18.42578125" style="57" customWidth="1"/>
    <col min="12" max="12" width="20" style="57" customWidth="1"/>
    <col min="13" max="13" width="15.5703125" style="57" customWidth="1"/>
    <col min="14" max="16384" width="11.42578125" style="57"/>
  </cols>
  <sheetData>
    <row r="1" spans="1:15">
      <c r="B1" s="56" t="s">
        <v>6</v>
      </c>
    </row>
    <row r="2" spans="1:15">
      <c r="A2" s="55" t="s">
        <v>14</v>
      </c>
      <c r="B2" s="57" t="s">
        <v>54</v>
      </c>
      <c r="I2" s="32"/>
      <c r="J2" s="30"/>
      <c r="K2" s="32"/>
      <c r="L2" s="30"/>
      <c r="M2" s="96"/>
      <c r="N2" s="30"/>
      <c r="O2" s="30"/>
    </row>
    <row r="3" spans="1:15">
      <c r="B3" s="57" t="s">
        <v>35</v>
      </c>
      <c r="I3" s="97"/>
      <c r="J3" s="30"/>
      <c r="K3" s="98"/>
      <c r="L3" s="30"/>
      <c r="M3" s="96"/>
      <c r="N3" s="36"/>
      <c r="O3" s="30"/>
    </row>
    <row r="4" spans="1:15" ht="18.75">
      <c r="B4" s="57" t="s">
        <v>55</v>
      </c>
      <c r="I4" s="97"/>
      <c r="J4" s="30"/>
      <c r="K4" s="98"/>
      <c r="L4" s="30"/>
      <c r="M4" s="96"/>
      <c r="N4" s="36"/>
    </row>
    <row r="5" spans="1:15" ht="18.75">
      <c r="B5" s="57" t="s">
        <v>57</v>
      </c>
      <c r="I5" s="97"/>
    </row>
    <row r="6" spans="1:15">
      <c r="B6" s="57" t="s">
        <v>17</v>
      </c>
      <c r="I6" s="97"/>
    </row>
    <row r="7" spans="1:15" ht="18" customHeight="1">
      <c r="B7" s="57" t="s">
        <v>53</v>
      </c>
      <c r="I7" s="97"/>
    </row>
    <row r="8" spans="1:15" ht="18" customHeight="1">
      <c r="J8" s="99" t="s">
        <v>151</v>
      </c>
      <c r="M8" s="99" t="s">
        <v>152</v>
      </c>
    </row>
    <row r="9" spans="1:15" ht="16.5" customHeight="1" thickBot="1">
      <c r="A9" s="64" t="s">
        <v>3</v>
      </c>
      <c r="B9" s="66" t="s">
        <v>16</v>
      </c>
      <c r="C9" s="65" t="s">
        <v>13</v>
      </c>
      <c r="D9" s="66" t="s">
        <v>51</v>
      </c>
      <c r="E9" s="66" t="s">
        <v>56</v>
      </c>
      <c r="H9" s="93" t="s">
        <v>153</v>
      </c>
      <c r="I9" s="93" t="s">
        <v>154</v>
      </c>
      <c r="J9" s="100" t="s">
        <v>155</v>
      </c>
      <c r="K9" s="93" t="s">
        <v>156</v>
      </c>
      <c r="L9" s="93" t="s">
        <v>157</v>
      </c>
      <c r="M9" s="100" t="s">
        <v>155</v>
      </c>
    </row>
    <row r="10" spans="1:15" ht="19.5">
      <c r="A10" s="55">
        <v>1</v>
      </c>
      <c r="B10" s="69">
        <v>103107</v>
      </c>
      <c r="C10" s="69">
        <v>80722</v>
      </c>
      <c r="D10" s="58">
        <v>3.7000000000000005E-2</v>
      </c>
      <c r="E10" s="58">
        <v>0.1391</v>
      </c>
      <c r="G10" s="89"/>
      <c r="H10" s="101">
        <f>ROUND(($B10/D10)*(1-1/POWER(1+D10,10)),0)</f>
        <v>848921</v>
      </c>
      <c r="I10" s="101">
        <f>ROUND(($C10/D10)*(1-1/POWER(1+D10,15)),0)</f>
        <v>916622</v>
      </c>
      <c r="J10" s="102" t="s">
        <v>13</v>
      </c>
      <c r="K10" s="101">
        <f>ROUND(($B10/E10)*(1-1/POWER(1+E10,10)),0)</f>
        <v>539712</v>
      </c>
      <c r="L10" s="101">
        <f>ROUND(($C10/E10)*(1-1/POWER(1+E10,15)),0)</f>
        <v>498047</v>
      </c>
      <c r="M10" s="99" t="s">
        <v>16</v>
      </c>
    </row>
    <row r="11" spans="1:15" ht="19.5">
      <c r="A11" s="55">
        <v>2</v>
      </c>
      <c r="B11" s="69">
        <v>102546</v>
      </c>
      <c r="C11" s="69">
        <v>81122</v>
      </c>
      <c r="D11" s="58">
        <v>3.3400000000000006E-2</v>
      </c>
      <c r="E11" s="58">
        <v>0.14070000000000002</v>
      </c>
      <c r="G11" s="89"/>
      <c r="H11" s="101">
        <f>ROUND(($B11/D11)*(1-1/POWER(1+D11,10)),0)</f>
        <v>859754</v>
      </c>
      <c r="I11" s="101">
        <f>ROUND(($C11/D11)*(1-1/POWER(1+D11,15)),0)</f>
        <v>945037</v>
      </c>
      <c r="J11" s="102" t="s">
        <v>13</v>
      </c>
      <c r="K11" s="101">
        <f>ROUND(($B11/E11)*(1-1/POWER(1+E11,10)),0)</f>
        <v>533434</v>
      </c>
      <c r="L11" s="101">
        <f>ROUND(($C11/E11)*(1-1/POWER(1+E11,15)),0)</f>
        <v>496526</v>
      </c>
      <c r="M11" s="99" t="s">
        <v>16</v>
      </c>
    </row>
    <row r="12" spans="1:15" ht="19.5">
      <c r="A12" s="55">
        <v>3</v>
      </c>
      <c r="B12" s="69">
        <v>101988</v>
      </c>
      <c r="C12" s="69">
        <v>81524</v>
      </c>
      <c r="D12" s="58">
        <v>2.9799999999999997E-2</v>
      </c>
      <c r="E12" s="58">
        <v>0.14830000000000002</v>
      </c>
      <c r="G12" s="89"/>
      <c r="H12" s="101">
        <f t="shared" ref="H12:H34" si="0">ROUND(($B12/D12)*(1-1/POWER(1+D12,10)),0)</f>
        <v>870867</v>
      </c>
      <c r="I12" s="101">
        <f t="shared" ref="I12:I34" si="1">ROUND(($C12/D12)*(1-1/POWER(1+D12,15)),0)</f>
        <v>974638</v>
      </c>
      <c r="J12" s="102" t="s">
        <v>13</v>
      </c>
      <c r="K12" s="101">
        <f t="shared" ref="K12:K34" si="2">ROUND(($B12/E12)*(1-1/POWER(1+E12,10)),0)</f>
        <v>515188</v>
      </c>
      <c r="L12" s="101">
        <f t="shared" ref="L12:L34" si="3">ROUND(($C12/E12)*(1-1/POWER(1+E12,15)),0)</f>
        <v>480650</v>
      </c>
      <c r="M12" s="99" t="s">
        <v>16</v>
      </c>
    </row>
    <row r="13" spans="1:15" ht="19.5">
      <c r="A13" s="55">
        <v>4</v>
      </c>
      <c r="B13" s="69">
        <v>101433</v>
      </c>
      <c r="C13" s="69">
        <v>81928</v>
      </c>
      <c r="D13" s="58">
        <v>3.8600000000000002E-2</v>
      </c>
      <c r="E13" s="58">
        <v>0.1431</v>
      </c>
      <c r="G13" s="89"/>
      <c r="H13" s="101">
        <f t="shared" si="0"/>
        <v>828476</v>
      </c>
      <c r="I13" s="101">
        <f t="shared" si="1"/>
        <v>919890</v>
      </c>
      <c r="J13" s="102" t="s">
        <v>13</v>
      </c>
      <c r="K13" s="101">
        <f t="shared" si="2"/>
        <v>522747</v>
      </c>
      <c r="L13" s="101">
        <f t="shared" si="3"/>
        <v>495516</v>
      </c>
      <c r="M13" s="99" t="s">
        <v>16</v>
      </c>
    </row>
    <row r="14" spans="1:15" ht="19.5">
      <c r="A14" s="55">
        <v>5</v>
      </c>
      <c r="B14" s="69">
        <v>100881</v>
      </c>
      <c r="C14" s="69">
        <v>82334</v>
      </c>
      <c r="D14" s="58">
        <v>3.0700000000000002E-2</v>
      </c>
      <c r="E14" s="58">
        <v>0.14760000000000001</v>
      </c>
      <c r="G14" s="89"/>
      <c r="H14" s="101">
        <f t="shared" si="0"/>
        <v>857469</v>
      </c>
      <c r="I14" s="101">
        <f t="shared" si="1"/>
        <v>977940</v>
      </c>
      <c r="J14" s="102" t="s">
        <v>13</v>
      </c>
      <c r="K14" s="101">
        <f t="shared" si="2"/>
        <v>510964</v>
      </c>
      <c r="L14" s="101">
        <f t="shared" si="3"/>
        <v>487083</v>
      </c>
      <c r="M14" s="99" t="s">
        <v>16</v>
      </c>
    </row>
    <row r="15" spans="1:15" ht="19.5">
      <c r="A15" s="55">
        <v>6</v>
      </c>
      <c r="B15" s="69">
        <v>100331</v>
      </c>
      <c r="C15" s="69">
        <v>82742</v>
      </c>
      <c r="D15" s="58">
        <v>3.4600000000000006E-2</v>
      </c>
      <c r="E15" s="58">
        <v>0.14330000000000001</v>
      </c>
      <c r="G15" s="89"/>
      <c r="H15" s="101">
        <f t="shared" si="0"/>
        <v>836098</v>
      </c>
      <c r="I15" s="101">
        <f t="shared" si="1"/>
        <v>955690</v>
      </c>
      <c r="J15" s="102" t="s">
        <v>13</v>
      </c>
      <c r="K15" s="101">
        <f t="shared" si="2"/>
        <v>516667</v>
      </c>
      <c r="L15" s="101">
        <f t="shared" si="3"/>
        <v>499944</v>
      </c>
      <c r="M15" s="99" t="s">
        <v>16</v>
      </c>
    </row>
    <row r="16" spans="1:15" ht="19.5">
      <c r="A16" s="55">
        <v>7</v>
      </c>
      <c r="B16" s="69">
        <v>99784</v>
      </c>
      <c r="C16" s="69">
        <v>83152</v>
      </c>
      <c r="D16" s="58">
        <v>3.9400000000000004E-2</v>
      </c>
      <c r="E16" s="58">
        <v>0.14370000000000002</v>
      </c>
      <c r="G16" s="89"/>
      <c r="H16" s="101">
        <f t="shared" si="0"/>
        <v>811760</v>
      </c>
      <c r="I16" s="101">
        <f t="shared" si="1"/>
        <v>928407</v>
      </c>
      <c r="J16" s="102" t="s">
        <v>13</v>
      </c>
      <c r="K16" s="101">
        <f t="shared" si="2"/>
        <v>513056</v>
      </c>
      <c r="L16" s="101">
        <f t="shared" si="3"/>
        <v>501429</v>
      </c>
      <c r="M16" s="99" t="s">
        <v>16</v>
      </c>
    </row>
    <row r="17" spans="1:13" ht="19.5">
      <c r="A17" s="55">
        <v>8</v>
      </c>
      <c r="B17" s="69">
        <v>99240</v>
      </c>
      <c r="C17" s="69">
        <v>83564</v>
      </c>
      <c r="D17" s="58">
        <v>3.0099999999999998E-2</v>
      </c>
      <c r="E17" s="58">
        <v>0.14730000000000001</v>
      </c>
      <c r="G17" s="89"/>
      <c r="H17" s="101">
        <f t="shared" si="0"/>
        <v>846105</v>
      </c>
      <c r="I17" s="101">
        <f t="shared" si="1"/>
        <v>996860</v>
      </c>
      <c r="J17" s="102" t="s">
        <v>13</v>
      </c>
      <c r="K17" s="101">
        <f t="shared" si="2"/>
        <v>503231</v>
      </c>
      <c r="L17" s="101">
        <f t="shared" si="3"/>
        <v>495084</v>
      </c>
      <c r="M17" s="99" t="s">
        <v>16</v>
      </c>
    </row>
    <row r="18" spans="1:13" ht="19.5">
      <c r="A18" s="55">
        <v>9</v>
      </c>
      <c r="B18" s="69">
        <v>98698</v>
      </c>
      <c r="C18" s="69">
        <v>83978</v>
      </c>
      <c r="D18" s="58">
        <v>3.3000000000000002E-2</v>
      </c>
      <c r="E18" s="58">
        <v>0.14170000000000002</v>
      </c>
      <c r="G18" s="89"/>
      <c r="H18" s="101">
        <f t="shared" si="0"/>
        <v>829170</v>
      </c>
      <c r="I18" s="101">
        <f t="shared" si="1"/>
        <v>981112</v>
      </c>
      <c r="J18" s="102" t="s">
        <v>13</v>
      </c>
      <c r="K18" s="101">
        <f t="shared" si="2"/>
        <v>511423</v>
      </c>
      <c r="L18" s="101">
        <f t="shared" si="3"/>
        <v>511454</v>
      </c>
      <c r="M18" s="99" t="s">
        <v>13</v>
      </c>
    </row>
    <row r="19" spans="1:13" ht="19.5">
      <c r="A19" s="55">
        <v>10</v>
      </c>
      <c r="B19" s="69">
        <v>98159</v>
      </c>
      <c r="C19" s="69">
        <v>84394</v>
      </c>
      <c r="D19" s="58">
        <v>3.9300000000000002E-2</v>
      </c>
      <c r="E19" s="58">
        <v>0.14320000000000002</v>
      </c>
      <c r="G19" s="89"/>
      <c r="H19" s="101">
        <f t="shared" si="0"/>
        <v>798939</v>
      </c>
      <c r="I19" s="101">
        <f t="shared" si="1"/>
        <v>942935</v>
      </c>
      <c r="J19" s="102" t="s">
        <v>13</v>
      </c>
      <c r="K19" s="101">
        <f t="shared" si="2"/>
        <v>505678</v>
      </c>
      <c r="L19" s="101">
        <f t="shared" si="3"/>
        <v>510178</v>
      </c>
      <c r="M19" s="99" t="s">
        <v>13</v>
      </c>
    </row>
    <row r="20" spans="1:13" ht="19.5">
      <c r="A20" s="55">
        <v>11</v>
      </c>
      <c r="B20" s="69">
        <v>97623</v>
      </c>
      <c r="C20" s="69">
        <v>84812</v>
      </c>
      <c r="D20" s="58">
        <v>3.6300000000000006E-2</v>
      </c>
      <c r="E20" s="58">
        <v>0.14530000000000001</v>
      </c>
      <c r="G20" s="89"/>
      <c r="H20" s="101">
        <f t="shared" si="0"/>
        <v>806598</v>
      </c>
      <c r="I20" s="101">
        <f t="shared" si="1"/>
        <v>967845</v>
      </c>
      <c r="J20" s="102" t="s">
        <v>13</v>
      </c>
      <c r="K20" s="101">
        <f t="shared" si="2"/>
        <v>498853</v>
      </c>
      <c r="L20" s="101">
        <f t="shared" si="3"/>
        <v>507424</v>
      </c>
      <c r="M20" s="99" t="s">
        <v>13</v>
      </c>
    </row>
    <row r="21" spans="1:13" ht="19.5">
      <c r="A21" s="55">
        <v>12</v>
      </c>
      <c r="B21" s="69">
        <v>97089</v>
      </c>
      <c r="C21" s="69">
        <v>85232</v>
      </c>
      <c r="D21" s="58">
        <v>3.2500000000000001E-2</v>
      </c>
      <c r="E21" s="58">
        <v>0.14120000000000002</v>
      </c>
      <c r="G21" s="89"/>
      <c r="H21" s="101">
        <f t="shared" si="0"/>
        <v>817722</v>
      </c>
      <c r="I21" s="101">
        <f t="shared" si="1"/>
        <v>999337</v>
      </c>
      <c r="J21" s="102" t="s">
        <v>13</v>
      </c>
      <c r="K21" s="101">
        <f t="shared" si="2"/>
        <v>504065</v>
      </c>
      <c r="L21" s="101">
        <f t="shared" si="3"/>
        <v>520384</v>
      </c>
      <c r="M21" s="99" t="s">
        <v>13</v>
      </c>
    </row>
    <row r="22" spans="1:13" ht="19.5">
      <c r="A22" s="55">
        <v>13</v>
      </c>
      <c r="B22" s="69">
        <v>96558</v>
      </c>
      <c r="C22" s="69">
        <v>85655</v>
      </c>
      <c r="D22" s="58">
        <v>3.8900000000000004E-2</v>
      </c>
      <c r="E22" s="58">
        <v>0.1454</v>
      </c>
      <c r="H22" s="101">
        <f t="shared" si="0"/>
        <v>787478</v>
      </c>
      <c r="I22" s="101">
        <f t="shared" si="1"/>
        <v>959713</v>
      </c>
      <c r="J22" s="102" t="s">
        <v>13</v>
      </c>
      <c r="K22" s="101">
        <f t="shared" si="2"/>
        <v>493221</v>
      </c>
      <c r="L22" s="101">
        <f t="shared" si="3"/>
        <v>512216</v>
      </c>
      <c r="M22" s="99" t="s">
        <v>13</v>
      </c>
    </row>
    <row r="23" spans="1:13" ht="19.5">
      <c r="A23" s="55">
        <v>14</v>
      </c>
      <c r="B23" s="69">
        <v>96030</v>
      </c>
      <c r="C23" s="69">
        <v>86080</v>
      </c>
      <c r="D23" s="58">
        <v>3.4000000000000002E-2</v>
      </c>
      <c r="E23" s="58">
        <v>0.14380000000000001</v>
      </c>
      <c r="H23" s="101">
        <f t="shared" si="0"/>
        <v>802684</v>
      </c>
      <c r="I23" s="101">
        <f t="shared" si="1"/>
        <v>998507</v>
      </c>
      <c r="J23" s="102" t="s">
        <v>13</v>
      </c>
      <c r="K23" s="101">
        <f t="shared" si="2"/>
        <v>493563</v>
      </c>
      <c r="L23" s="101">
        <f t="shared" si="3"/>
        <v>518830</v>
      </c>
      <c r="M23" s="99" t="s">
        <v>13</v>
      </c>
    </row>
    <row r="24" spans="1:13" ht="19.5">
      <c r="A24" s="55">
        <v>15</v>
      </c>
      <c r="B24" s="69">
        <v>95504</v>
      </c>
      <c r="C24" s="69">
        <v>86507</v>
      </c>
      <c r="D24" s="58">
        <v>3.3100000000000004E-2</v>
      </c>
      <c r="E24" s="58">
        <v>0.14610000000000001</v>
      </c>
      <c r="H24" s="101">
        <f t="shared" si="0"/>
        <v>801930</v>
      </c>
      <c r="I24" s="101">
        <f t="shared" si="1"/>
        <v>1009935</v>
      </c>
      <c r="J24" s="102" t="s">
        <v>13</v>
      </c>
      <c r="K24" s="101">
        <f t="shared" si="2"/>
        <v>486524</v>
      </c>
      <c r="L24" s="101">
        <f t="shared" si="3"/>
        <v>515537</v>
      </c>
      <c r="M24" s="99" t="s">
        <v>13</v>
      </c>
    </row>
    <row r="25" spans="1:13" ht="19.5">
      <c r="A25" s="55">
        <v>16</v>
      </c>
      <c r="B25" s="69">
        <v>94981</v>
      </c>
      <c r="C25" s="69">
        <v>86936</v>
      </c>
      <c r="D25" s="58">
        <v>3.4800000000000005E-2</v>
      </c>
      <c r="E25" s="58">
        <v>0.14600000000000002</v>
      </c>
      <c r="H25" s="101">
        <f t="shared" si="0"/>
        <v>790716</v>
      </c>
      <c r="I25" s="101">
        <f t="shared" si="1"/>
        <v>1002703</v>
      </c>
      <c r="J25" s="102" t="s">
        <v>13</v>
      </c>
      <c r="K25" s="101">
        <f t="shared" si="2"/>
        <v>484046</v>
      </c>
      <c r="L25" s="101">
        <f t="shared" si="3"/>
        <v>518348</v>
      </c>
      <c r="M25" s="99" t="s">
        <v>13</v>
      </c>
    </row>
    <row r="26" spans="1:13" ht="19.5">
      <c r="A26" s="55">
        <v>17</v>
      </c>
      <c r="B26" s="69">
        <v>94461</v>
      </c>
      <c r="C26" s="69">
        <v>87367</v>
      </c>
      <c r="D26" s="58">
        <v>3.6600000000000001E-2</v>
      </c>
      <c r="E26" s="58">
        <v>0.1452</v>
      </c>
      <c r="H26" s="101">
        <f t="shared" si="0"/>
        <v>779297</v>
      </c>
      <c r="I26" s="101">
        <f t="shared" si="1"/>
        <v>994887</v>
      </c>
      <c r="J26" s="102" t="s">
        <v>13</v>
      </c>
      <c r="K26" s="101">
        <f t="shared" si="2"/>
        <v>482881</v>
      </c>
      <c r="L26" s="101">
        <f t="shared" si="3"/>
        <v>522967</v>
      </c>
      <c r="M26" s="99" t="s">
        <v>13</v>
      </c>
    </row>
    <row r="27" spans="1:13" ht="19.5">
      <c r="A27" s="55">
        <v>18</v>
      </c>
      <c r="B27" s="69">
        <v>93943</v>
      </c>
      <c r="C27" s="69">
        <v>87800</v>
      </c>
      <c r="D27" s="58">
        <v>3.3600000000000005E-2</v>
      </c>
      <c r="E27" s="58">
        <v>0.14180000000000001</v>
      </c>
      <c r="H27" s="101">
        <f t="shared" si="0"/>
        <v>786829</v>
      </c>
      <c r="I27" s="101">
        <f t="shared" si="1"/>
        <v>1021371</v>
      </c>
      <c r="J27" s="102" t="s">
        <v>13</v>
      </c>
      <c r="K27" s="101">
        <f t="shared" si="2"/>
        <v>486595</v>
      </c>
      <c r="L27" s="101">
        <f t="shared" si="3"/>
        <v>534466</v>
      </c>
      <c r="M27" s="99" t="s">
        <v>13</v>
      </c>
    </row>
    <row r="28" spans="1:13" ht="19.5">
      <c r="A28" s="55">
        <v>19</v>
      </c>
      <c r="B28" s="69">
        <v>93428</v>
      </c>
      <c r="C28" s="69">
        <v>88235</v>
      </c>
      <c r="D28" s="58">
        <v>3.0099999999999998E-2</v>
      </c>
      <c r="E28" s="58">
        <v>0.14650000000000002</v>
      </c>
      <c r="H28" s="101">
        <f t="shared" si="0"/>
        <v>796553</v>
      </c>
      <c r="I28" s="101">
        <f t="shared" si="1"/>
        <v>1052582</v>
      </c>
      <c r="J28" s="102" t="s">
        <v>13</v>
      </c>
      <c r="K28" s="101">
        <f t="shared" si="2"/>
        <v>475217</v>
      </c>
      <c r="L28" s="101">
        <f t="shared" si="3"/>
        <v>524806</v>
      </c>
      <c r="M28" s="99" t="s">
        <v>13</v>
      </c>
    </row>
    <row r="29" spans="1:13" ht="19.5">
      <c r="A29" s="55">
        <v>20</v>
      </c>
      <c r="B29" s="69">
        <v>92915</v>
      </c>
      <c r="C29" s="69">
        <v>88673</v>
      </c>
      <c r="D29" s="58">
        <v>3.4600000000000006E-2</v>
      </c>
      <c r="E29" s="58">
        <v>0.13970000000000002</v>
      </c>
      <c r="H29" s="101">
        <f t="shared" si="0"/>
        <v>774298</v>
      </c>
      <c r="I29" s="101">
        <f t="shared" si="1"/>
        <v>1024195</v>
      </c>
      <c r="J29" s="102" t="s">
        <v>13</v>
      </c>
      <c r="K29" s="101">
        <f t="shared" si="2"/>
        <v>485223</v>
      </c>
      <c r="L29" s="101">
        <f t="shared" si="3"/>
        <v>545462</v>
      </c>
      <c r="M29" s="99" t="s">
        <v>13</v>
      </c>
    </row>
    <row r="30" spans="1:13" ht="19.5">
      <c r="A30" s="55">
        <v>21</v>
      </c>
      <c r="B30" s="69">
        <v>92405</v>
      </c>
      <c r="C30" s="69">
        <v>89113</v>
      </c>
      <c r="D30" s="58">
        <v>3.09E-2</v>
      </c>
      <c r="E30" s="58">
        <v>0.1457</v>
      </c>
      <c r="H30" s="101">
        <f t="shared" si="0"/>
        <v>784625</v>
      </c>
      <c r="I30" s="101">
        <f t="shared" si="1"/>
        <v>1056933</v>
      </c>
      <c r="J30" s="102" t="s">
        <v>13</v>
      </c>
      <c r="K30" s="101">
        <f t="shared" si="2"/>
        <v>471462</v>
      </c>
      <c r="L30" s="101">
        <f t="shared" si="3"/>
        <v>532110</v>
      </c>
      <c r="M30" s="99" t="s">
        <v>13</v>
      </c>
    </row>
    <row r="31" spans="1:13" ht="19.5">
      <c r="A31" s="55">
        <v>22</v>
      </c>
      <c r="B31" s="69">
        <v>91897</v>
      </c>
      <c r="C31" s="69">
        <v>89555</v>
      </c>
      <c r="D31" s="58">
        <v>2.9500000000000002E-2</v>
      </c>
      <c r="E31" s="58">
        <v>0.1469</v>
      </c>
      <c r="H31" s="101">
        <f t="shared" si="0"/>
        <v>785904</v>
      </c>
      <c r="I31" s="101">
        <f t="shared" si="1"/>
        <v>1072978</v>
      </c>
      <c r="J31" s="102" t="s">
        <v>13</v>
      </c>
      <c r="K31" s="101">
        <f t="shared" si="2"/>
        <v>466712</v>
      </c>
      <c r="L31" s="101">
        <f t="shared" si="3"/>
        <v>531616</v>
      </c>
      <c r="M31" s="99" t="s">
        <v>13</v>
      </c>
    </row>
    <row r="32" spans="1:13" ht="19.5">
      <c r="A32" s="55">
        <v>23</v>
      </c>
      <c r="B32" s="69">
        <v>91392</v>
      </c>
      <c r="C32" s="69">
        <v>89999</v>
      </c>
      <c r="D32" s="58">
        <v>3.3300000000000003E-2</v>
      </c>
      <c r="E32" s="58">
        <v>0.14700000000000002</v>
      </c>
      <c r="H32" s="101">
        <f t="shared" si="0"/>
        <v>766626</v>
      </c>
      <c r="I32" s="101">
        <f t="shared" si="1"/>
        <v>1049200</v>
      </c>
      <c r="J32" s="102" t="s">
        <v>13</v>
      </c>
      <c r="K32" s="101">
        <f t="shared" si="2"/>
        <v>463969</v>
      </c>
      <c r="L32" s="101">
        <f t="shared" si="3"/>
        <v>533991</v>
      </c>
      <c r="M32" s="99" t="s">
        <v>13</v>
      </c>
    </row>
    <row r="33" spans="1:13" ht="19.5">
      <c r="A33" s="55">
        <v>24</v>
      </c>
      <c r="B33" s="69">
        <v>90889</v>
      </c>
      <c r="C33" s="69">
        <v>90445</v>
      </c>
      <c r="D33" s="58">
        <v>3.5000000000000003E-2</v>
      </c>
      <c r="E33" s="58">
        <v>0.1482</v>
      </c>
      <c r="H33" s="101">
        <f t="shared" si="0"/>
        <v>755888</v>
      </c>
      <c r="I33" s="101">
        <f t="shared" si="1"/>
        <v>1041692</v>
      </c>
      <c r="J33" s="102" t="s">
        <v>13</v>
      </c>
      <c r="K33" s="101">
        <f t="shared" si="2"/>
        <v>459298</v>
      </c>
      <c r="L33" s="101">
        <f t="shared" si="3"/>
        <v>533506</v>
      </c>
      <c r="M33" s="99" t="s">
        <v>13</v>
      </c>
    </row>
    <row r="34" spans="1:13" ht="20.25" thickBot="1">
      <c r="A34" s="64">
        <v>25</v>
      </c>
      <c r="B34" s="72">
        <v>90389</v>
      </c>
      <c r="C34" s="72">
        <v>90894</v>
      </c>
      <c r="D34" s="73">
        <v>3.4000000000000002E-2</v>
      </c>
      <c r="E34" s="73">
        <v>0.13900000000000001</v>
      </c>
      <c r="G34" s="75"/>
      <c r="H34" s="103">
        <f t="shared" si="0"/>
        <v>755533</v>
      </c>
      <c r="I34" s="103">
        <f t="shared" si="1"/>
        <v>1054348</v>
      </c>
      <c r="J34" s="104" t="s">
        <v>13</v>
      </c>
      <c r="K34" s="103">
        <f t="shared" si="2"/>
        <v>473325</v>
      </c>
      <c r="L34" s="103">
        <f t="shared" si="3"/>
        <v>561089</v>
      </c>
      <c r="M34" s="100" t="s">
        <v>13</v>
      </c>
    </row>
    <row r="35" spans="1:13">
      <c r="C35" s="69"/>
      <c r="G35" s="30"/>
    </row>
    <row r="36" spans="1:13">
      <c r="G36" s="30"/>
    </row>
    <row r="37" spans="1:13">
      <c r="H37" s="32"/>
      <c r="I37" s="30"/>
      <c r="J37" s="105"/>
      <c r="K37" s="30"/>
      <c r="L37" s="96"/>
      <c r="M37" s="37"/>
    </row>
    <row r="38" spans="1:13">
      <c r="H38" s="32"/>
      <c r="I38" s="30"/>
      <c r="J38" s="32"/>
      <c r="K38" s="30"/>
      <c r="L38" s="96"/>
      <c r="M38" s="37"/>
    </row>
  </sheetData>
  <sortState ref="B10:B34">
    <sortCondition descending="1" ref="B10"/>
  </sortState>
  <phoneticPr fontId="4" type="noConversion"/>
  <pageMargins left="0.38" right="0.4" top="0.17" bottom="0.16" header="0" footer="0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X58"/>
  <sheetViews>
    <sheetView topLeftCell="A25" zoomScale="108" zoomScaleNormal="108" workbookViewId="0"/>
  </sheetViews>
  <sheetFormatPr baseColWidth="10" defaultRowHeight="15.75"/>
  <cols>
    <col min="1" max="1" width="6" style="55" customWidth="1"/>
    <col min="2" max="2" width="9.5703125" style="57" customWidth="1"/>
    <col min="3" max="3" width="4.42578125" style="57" customWidth="1"/>
    <col min="4" max="4" width="11.42578125" style="57"/>
    <col min="5" max="5" width="3" style="57" customWidth="1"/>
    <col min="6" max="6" width="9.7109375" style="106" customWidth="1"/>
    <col min="7" max="7" width="4.5703125" style="106" customWidth="1"/>
    <col min="8" max="8" width="11.42578125" style="57"/>
    <col min="9" max="9" width="2.5703125" style="57" customWidth="1"/>
    <col min="10" max="10" width="9.42578125" style="57" customWidth="1"/>
    <col min="11" max="11" width="5.28515625" style="57" customWidth="1"/>
    <col min="12" max="12" width="11.42578125" style="57"/>
    <col min="13" max="13" width="3.7109375" style="57" customWidth="1"/>
    <col min="14" max="16" width="10.5703125" style="57" customWidth="1"/>
    <col min="17" max="17" width="3.5703125" style="57" customWidth="1"/>
    <col min="18" max="20" width="10.5703125" style="57" customWidth="1"/>
    <col min="21" max="21" width="3.7109375" style="57" customWidth="1"/>
    <col min="22" max="24" width="10.5703125" style="57" customWidth="1"/>
    <col min="25" max="16384" width="11.42578125" style="57"/>
  </cols>
  <sheetData>
    <row r="1" spans="1:24">
      <c r="B1" s="56" t="s">
        <v>6</v>
      </c>
    </row>
    <row r="2" spans="1:24">
      <c r="A2" s="55" t="s">
        <v>18</v>
      </c>
      <c r="B2" s="57" t="s">
        <v>63</v>
      </c>
    </row>
    <row r="3" spans="1:24">
      <c r="B3" s="57" t="s">
        <v>47</v>
      </c>
    </row>
    <row r="4" spans="1:24">
      <c r="B4" s="57" t="s">
        <v>48</v>
      </c>
      <c r="N4" s="107" t="s">
        <v>158</v>
      </c>
      <c r="O4" s="108" t="s">
        <v>149</v>
      </c>
      <c r="P4" s="108" t="s">
        <v>159</v>
      </c>
      <c r="R4" s="107" t="s">
        <v>158</v>
      </c>
      <c r="S4" s="108" t="s">
        <v>149</v>
      </c>
      <c r="T4" s="108" t="s">
        <v>159</v>
      </c>
      <c r="V4" s="107" t="s">
        <v>158</v>
      </c>
      <c r="W4" s="108" t="s">
        <v>149</v>
      </c>
      <c r="X4" s="108" t="s">
        <v>159</v>
      </c>
    </row>
    <row r="5" spans="1:24">
      <c r="N5" s="108" t="s">
        <v>162</v>
      </c>
      <c r="O5" s="108" t="s">
        <v>158</v>
      </c>
      <c r="P5" s="108" t="s">
        <v>160</v>
      </c>
      <c r="R5" s="108" t="s">
        <v>162</v>
      </c>
      <c r="S5" s="108" t="s">
        <v>158</v>
      </c>
      <c r="T5" s="108" t="s">
        <v>160</v>
      </c>
      <c r="V5" s="108" t="s">
        <v>162</v>
      </c>
      <c r="W5" s="108" t="s">
        <v>158</v>
      </c>
      <c r="X5" s="108" t="s">
        <v>160</v>
      </c>
    </row>
    <row r="6" spans="1:24">
      <c r="B6" s="55" t="s">
        <v>60</v>
      </c>
      <c r="F6" s="55" t="s">
        <v>59</v>
      </c>
      <c r="G6" s="57"/>
      <c r="J6" s="55" t="s">
        <v>58</v>
      </c>
      <c r="L6" s="69"/>
      <c r="N6" s="108" t="s">
        <v>60</v>
      </c>
      <c r="O6" s="109"/>
      <c r="P6" s="110" t="s">
        <v>161</v>
      </c>
      <c r="R6" s="108" t="s">
        <v>60</v>
      </c>
      <c r="S6" s="109"/>
      <c r="T6" s="110" t="s">
        <v>161</v>
      </c>
      <c r="V6" s="108" t="s">
        <v>60</v>
      </c>
      <c r="W6" s="109"/>
      <c r="X6" s="110" t="s">
        <v>161</v>
      </c>
    </row>
    <row r="7" spans="1:24" ht="18.75" customHeight="1" thickBot="1">
      <c r="A7" s="111" t="s">
        <v>3</v>
      </c>
      <c r="B7" s="65" t="s">
        <v>0</v>
      </c>
      <c r="C7" s="112" t="s">
        <v>34</v>
      </c>
      <c r="D7" s="65" t="s">
        <v>19</v>
      </c>
      <c r="E7" s="64"/>
      <c r="F7" s="65" t="s">
        <v>0</v>
      </c>
      <c r="G7" s="112" t="s">
        <v>34</v>
      </c>
      <c r="H7" s="65" t="s">
        <v>19</v>
      </c>
      <c r="I7" s="64"/>
      <c r="J7" s="65" t="s">
        <v>0</v>
      </c>
      <c r="K7" s="112" t="s">
        <v>34</v>
      </c>
      <c r="L7" s="65" t="s">
        <v>19</v>
      </c>
      <c r="N7" s="75"/>
      <c r="O7" s="75"/>
      <c r="P7" s="75"/>
      <c r="R7" s="75"/>
      <c r="S7" s="75"/>
      <c r="T7" s="75"/>
      <c r="V7" s="75"/>
      <c r="W7" s="75"/>
      <c r="X7" s="75"/>
    </row>
    <row r="8" spans="1:24" ht="18.75">
      <c r="A8" s="55">
        <v>1</v>
      </c>
      <c r="B8" s="69">
        <v>75833</v>
      </c>
      <c r="C8" s="57">
        <v>3</v>
      </c>
      <c r="D8" s="69">
        <f t="shared" ref="D8:D32" si="0">B8*C8-60000</f>
        <v>167499</v>
      </c>
      <c r="F8" s="69">
        <v>98253</v>
      </c>
      <c r="G8" s="59">
        <v>4</v>
      </c>
      <c r="H8" s="69">
        <f t="shared" ref="H8:H32" si="1">F8*G8-80000</f>
        <v>313012</v>
      </c>
      <c r="J8" s="69">
        <v>88654</v>
      </c>
      <c r="K8" s="57">
        <v>5</v>
      </c>
      <c r="L8" s="69">
        <f t="shared" ref="L8:L32" si="2">J8*K8-60000</f>
        <v>383270</v>
      </c>
      <c r="N8" s="113">
        <v>0.17019999999999999</v>
      </c>
      <c r="O8" s="69">
        <f>ROUND(B8/N8*(1-1/POWER(1+N8,C8)),0)</f>
        <v>167505</v>
      </c>
      <c r="P8" s="69">
        <f>O8-D8</f>
        <v>6</v>
      </c>
      <c r="R8" s="113">
        <v>0.17019999999999999</v>
      </c>
      <c r="S8" s="69">
        <f>ROUND(F8/R8*(1-1/POWER(1+R8,G8)),0)</f>
        <v>269425</v>
      </c>
      <c r="T8" s="69">
        <f>S8-H8</f>
        <v>-43587</v>
      </c>
      <c r="V8" s="113">
        <v>0.17019999999999999</v>
      </c>
      <c r="W8" s="69">
        <f>ROUND(J8/V8*(1-1/POWER(1+V8,K8)),0)</f>
        <v>283504</v>
      </c>
      <c r="X8" s="69">
        <f>W8-L8</f>
        <v>-99766</v>
      </c>
    </row>
    <row r="9" spans="1:24" ht="18.75">
      <c r="A9" s="55">
        <v>2</v>
      </c>
      <c r="B9" s="69">
        <v>73917</v>
      </c>
      <c r="C9" s="57">
        <v>3</v>
      </c>
      <c r="D9" s="69">
        <f t="shared" si="0"/>
        <v>161751</v>
      </c>
      <c r="F9" s="69">
        <v>88844</v>
      </c>
      <c r="G9" s="59">
        <v>4</v>
      </c>
      <c r="H9" s="69">
        <f t="shared" si="1"/>
        <v>275376</v>
      </c>
      <c r="J9" s="69">
        <v>83689</v>
      </c>
      <c r="K9" s="57">
        <v>5</v>
      </c>
      <c r="L9" s="69">
        <f t="shared" si="2"/>
        <v>358445</v>
      </c>
      <c r="N9" s="113">
        <v>0.17599999999999999</v>
      </c>
      <c r="O9" s="69">
        <f>ROUND(B9/N9*(1-1/POWER(1+N9,C9)),0)</f>
        <v>161751</v>
      </c>
      <c r="P9" s="69">
        <f>O9-D9</f>
        <v>0</v>
      </c>
      <c r="R9" s="113">
        <v>0.1104</v>
      </c>
      <c r="S9" s="69">
        <f>ROUND(F9/R9*(1-1/POWER(1+R9,G9)),0)</f>
        <v>275398</v>
      </c>
      <c r="T9" s="69">
        <f>S9-H9</f>
        <v>22</v>
      </c>
      <c r="V9" s="113">
        <v>5.3900000000000003E-2</v>
      </c>
      <c r="W9" s="69">
        <f>ROUND(J9/V9*(1-1/POWER(1+V9,K9)),0)</f>
        <v>358456</v>
      </c>
      <c r="X9" s="69">
        <f>W9-L9</f>
        <v>11</v>
      </c>
    </row>
    <row r="10" spans="1:24" ht="18.75">
      <c r="A10" s="55">
        <v>3</v>
      </c>
      <c r="B10" s="69">
        <v>68434</v>
      </c>
      <c r="C10" s="57">
        <v>3</v>
      </c>
      <c r="D10" s="69">
        <f t="shared" si="0"/>
        <v>145302</v>
      </c>
      <c r="F10" s="69">
        <v>95246</v>
      </c>
      <c r="G10" s="59">
        <v>4</v>
      </c>
      <c r="H10" s="69">
        <f t="shared" si="1"/>
        <v>300984</v>
      </c>
      <c r="J10" s="69">
        <v>91301</v>
      </c>
      <c r="K10" s="57">
        <v>5</v>
      </c>
      <c r="L10" s="69">
        <f t="shared" si="2"/>
        <v>396505</v>
      </c>
      <c r="N10" s="113">
        <v>0.17599999999999999</v>
      </c>
      <c r="O10" s="69">
        <f t="shared" ref="O10:O32" si="3">ROUND(B10/N10*(1-1/POWER(1+N10,C10)),0)</f>
        <v>149753</v>
      </c>
      <c r="P10" s="69">
        <f t="shared" ref="P10:P32" si="4">O10-D10</f>
        <v>4451</v>
      </c>
      <c r="R10" s="113">
        <v>0.1104</v>
      </c>
      <c r="S10" s="69">
        <f t="shared" ref="S10:S32" si="5">ROUND(F10/R10*(1-1/POWER(1+R10,G10)),0)</f>
        <v>295243</v>
      </c>
      <c r="T10" s="69">
        <f t="shared" ref="T10:T32" si="6">S10-H10</f>
        <v>-5741</v>
      </c>
      <c r="V10" s="113">
        <v>5.3900000000000003E-2</v>
      </c>
      <c r="W10" s="69">
        <f t="shared" ref="W10:W32" si="7">ROUND(J10/V10*(1-1/POWER(1+V10,K10)),0)</f>
        <v>391060</v>
      </c>
      <c r="X10" s="69">
        <f t="shared" ref="X10:X32" si="8">W10-L10</f>
        <v>-5445</v>
      </c>
    </row>
    <row r="11" spans="1:24" ht="18.75">
      <c r="A11" s="55">
        <v>4</v>
      </c>
      <c r="B11" s="69">
        <v>95190</v>
      </c>
      <c r="C11" s="57">
        <v>3</v>
      </c>
      <c r="D11" s="69">
        <f t="shared" si="0"/>
        <v>225570</v>
      </c>
      <c r="F11" s="69">
        <v>82760</v>
      </c>
      <c r="G11" s="59">
        <v>4</v>
      </c>
      <c r="H11" s="69">
        <f t="shared" si="1"/>
        <v>251040</v>
      </c>
      <c r="J11" s="69">
        <v>95672</v>
      </c>
      <c r="K11" s="57">
        <v>5</v>
      </c>
      <c r="L11" s="69">
        <f t="shared" si="2"/>
        <v>418360</v>
      </c>
      <c r="N11" s="113">
        <v>0.17599999999999999</v>
      </c>
      <c r="O11" s="69">
        <f t="shared" si="3"/>
        <v>208302</v>
      </c>
      <c r="P11" s="69">
        <f t="shared" si="4"/>
        <v>-17268</v>
      </c>
      <c r="R11" s="113">
        <v>0.1104</v>
      </c>
      <c r="S11" s="69">
        <f t="shared" si="5"/>
        <v>256539</v>
      </c>
      <c r="T11" s="69">
        <f t="shared" si="6"/>
        <v>5499</v>
      </c>
      <c r="V11" s="113">
        <v>5.3900000000000003E-2</v>
      </c>
      <c r="W11" s="69">
        <f t="shared" si="7"/>
        <v>409782</v>
      </c>
      <c r="X11" s="69">
        <f t="shared" si="8"/>
        <v>-8578</v>
      </c>
    </row>
    <row r="12" spans="1:24" ht="18.75">
      <c r="A12" s="55">
        <v>5</v>
      </c>
      <c r="B12" s="69">
        <v>93460</v>
      </c>
      <c r="C12" s="57">
        <v>3</v>
      </c>
      <c r="D12" s="69">
        <f t="shared" si="0"/>
        <v>220380</v>
      </c>
      <c r="F12" s="69">
        <v>85977</v>
      </c>
      <c r="G12" s="59">
        <v>4</v>
      </c>
      <c r="H12" s="69">
        <f t="shared" si="1"/>
        <v>263908</v>
      </c>
      <c r="J12" s="69">
        <v>88851</v>
      </c>
      <c r="K12" s="57">
        <v>5</v>
      </c>
      <c r="L12" s="69">
        <f t="shared" si="2"/>
        <v>384255</v>
      </c>
      <c r="N12" s="113">
        <v>0.1308</v>
      </c>
      <c r="O12" s="69">
        <f t="shared" si="3"/>
        <v>220374</v>
      </c>
      <c r="P12" s="69">
        <f t="shared" si="4"/>
        <v>-6</v>
      </c>
      <c r="R12" s="113">
        <v>8.14E-2</v>
      </c>
      <c r="S12" s="69">
        <f t="shared" si="5"/>
        <v>283882</v>
      </c>
      <c r="T12" s="69">
        <f t="shared" si="6"/>
        <v>19974</v>
      </c>
      <c r="V12" s="113">
        <v>4.5499999999999999E-2</v>
      </c>
      <c r="W12" s="69">
        <f t="shared" si="7"/>
        <v>389511</v>
      </c>
      <c r="X12" s="69">
        <f t="shared" si="8"/>
        <v>5256</v>
      </c>
    </row>
    <row r="13" spans="1:24" ht="18.75">
      <c r="A13" s="55">
        <v>6</v>
      </c>
      <c r="B13" s="69">
        <v>74381</v>
      </c>
      <c r="C13" s="57">
        <v>3</v>
      </c>
      <c r="D13" s="69">
        <f t="shared" si="0"/>
        <v>163143</v>
      </c>
      <c r="F13" s="69">
        <v>98475</v>
      </c>
      <c r="G13" s="59">
        <v>4</v>
      </c>
      <c r="H13" s="69">
        <f t="shared" si="1"/>
        <v>313900</v>
      </c>
      <c r="J13" s="69">
        <v>96194</v>
      </c>
      <c r="K13" s="57">
        <v>5</v>
      </c>
      <c r="L13" s="69">
        <f t="shared" si="2"/>
        <v>420970</v>
      </c>
      <c r="N13" s="113">
        <v>0.17599999999999999</v>
      </c>
      <c r="O13" s="69">
        <f t="shared" si="3"/>
        <v>162767</v>
      </c>
      <c r="P13" s="69">
        <f t="shared" si="4"/>
        <v>-376</v>
      </c>
      <c r="R13" s="113">
        <v>0.1104</v>
      </c>
      <c r="S13" s="69">
        <f t="shared" si="5"/>
        <v>305253</v>
      </c>
      <c r="T13" s="69">
        <f t="shared" si="6"/>
        <v>-8647</v>
      </c>
      <c r="V13" s="113">
        <v>5.3900000000000003E-2</v>
      </c>
      <c r="W13" s="69">
        <f t="shared" si="7"/>
        <v>412018</v>
      </c>
      <c r="X13" s="69">
        <f t="shared" si="8"/>
        <v>-8952</v>
      </c>
    </row>
    <row r="14" spans="1:24" ht="18.75">
      <c r="A14" s="55">
        <v>7</v>
      </c>
      <c r="B14" s="69">
        <v>85167</v>
      </c>
      <c r="C14" s="57">
        <v>3</v>
      </c>
      <c r="D14" s="69">
        <f t="shared" si="0"/>
        <v>195501</v>
      </c>
      <c r="F14" s="69">
        <v>91733</v>
      </c>
      <c r="G14" s="59">
        <v>4</v>
      </c>
      <c r="H14" s="69">
        <f t="shared" si="1"/>
        <v>286932</v>
      </c>
      <c r="J14" s="69">
        <v>89181</v>
      </c>
      <c r="K14" s="57">
        <v>5</v>
      </c>
      <c r="L14" s="69">
        <f t="shared" si="2"/>
        <v>385905</v>
      </c>
      <c r="N14" s="113">
        <v>0.17599999999999999</v>
      </c>
      <c r="O14" s="69">
        <f t="shared" si="3"/>
        <v>186369</v>
      </c>
      <c r="P14" s="69">
        <f t="shared" si="4"/>
        <v>-9132</v>
      </c>
      <c r="R14" s="113">
        <v>0.1104</v>
      </c>
      <c r="S14" s="69">
        <f t="shared" si="5"/>
        <v>284354</v>
      </c>
      <c r="T14" s="69">
        <f t="shared" si="6"/>
        <v>-2578</v>
      </c>
      <c r="V14" s="113">
        <v>5.3900000000000003E-2</v>
      </c>
      <c r="W14" s="69">
        <f t="shared" si="7"/>
        <v>381980</v>
      </c>
      <c r="X14" s="69">
        <f t="shared" si="8"/>
        <v>-3925</v>
      </c>
    </row>
    <row r="15" spans="1:24" ht="18.75">
      <c r="A15" s="55">
        <v>8</v>
      </c>
      <c r="B15" s="69">
        <v>79955</v>
      </c>
      <c r="C15" s="57">
        <v>3</v>
      </c>
      <c r="D15" s="69">
        <f t="shared" si="0"/>
        <v>179865</v>
      </c>
      <c r="F15" s="69">
        <v>88596</v>
      </c>
      <c r="G15" s="59">
        <v>4</v>
      </c>
      <c r="H15" s="69">
        <f t="shared" si="1"/>
        <v>274384</v>
      </c>
      <c r="J15" s="69">
        <v>86353</v>
      </c>
      <c r="K15" s="57">
        <v>5</v>
      </c>
      <c r="L15" s="69">
        <f t="shared" si="2"/>
        <v>371765</v>
      </c>
      <c r="N15" s="113">
        <v>0.17599999999999999</v>
      </c>
      <c r="O15" s="69">
        <f t="shared" si="3"/>
        <v>174964</v>
      </c>
      <c r="P15" s="69">
        <f t="shared" si="4"/>
        <v>-4901</v>
      </c>
      <c r="R15" s="113">
        <v>0.1104</v>
      </c>
      <c r="S15" s="69">
        <f t="shared" si="5"/>
        <v>274630</v>
      </c>
      <c r="T15" s="69">
        <f t="shared" si="6"/>
        <v>246</v>
      </c>
      <c r="V15" s="113">
        <v>5.3900000000000003E-2</v>
      </c>
      <c r="W15" s="69">
        <f t="shared" si="7"/>
        <v>369867</v>
      </c>
      <c r="X15" s="69">
        <f t="shared" si="8"/>
        <v>-1898</v>
      </c>
    </row>
    <row r="16" spans="1:24" ht="18.75">
      <c r="A16" s="55">
        <v>9</v>
      </c>
      <c r="B16" s="69">
        <v>64600</v>
      </c>
      <c r="C16" s="57">
        <v>3</v>
      </c>
      <c r="D16" s="69">
        <f t="shared" si="0"/>
        <v>133800</v>
      </c>
      <c r="F16" s="69">
        <v>91875</v>
      </c>
      <c r="G16" s="59">
        <v>4</v>
      </c>
      <c r="H16" s="69">
        <f t="shared" si="1"/>
        <v>287500</v>
      </c>
      <c r="J16" s="69">
        <v>95948</v>
      </c>
      <c r="K16" s="57">
        <v>5</v>
      </c>
      <c r="L16" s="69">
        <f t="shared" si="2"/>
        <v>419740</v>
      </c>
      <c r="N16" s="113">
        <v>0.17599999999999999</v>
      </c>
      <c r="O16" s="69">
        <f t="shared" si="3"/>
        <v>141363</v>
      </c>
      <c r="P16" s="69">
        <f t="shared" si="4"/>
        <v>7563</v>
      </c>
      <c r="R16" s="113">
        <v>0.1104</v>
      </c>
      <c r="S16" s="69">
        <f t="shared" si="5"/>
        <v>284794</v>
      </c>
      <c r="T16" s="69">
        <f t="shared" si="6"/>
        <v>-2706</v>
      </c>
      <c r="V16" s="113">
        <v>5.3900000000000003E-2</v>
      </c>
      <c r="W16" s="69">
        <f t="shared" si="7"/>
        <v>410964</v>
      </c>
      <c r="X16" s="69">
        <f t="shared" si="8"/>
        <v>-8776</v>
      </c>
    </row>
    <row r="17" spans="1:24" ht="18.75">
      <c r="A17" s="55">
        <v>10</v>
      </c>
      <c r="B17" s="69">
        <v>74628</v>
      </c>
      <c r="C17" s="57">
        <v>3</v>
      </c>
      <c r="D17" s="69">
        <f t="shared" si="0"/>
        <v>163884</v>
      </c>
      <c r="F17" s="69">
        <v>80062</v>
      </c>
      <c r="G17" s="59">
        <v>4</v>
      </c>
      <c r="H17" s="69">
        <f t="shared" si="1"/>
        <v>240248</v>
      </c>
      <c r="J17" s="69">
        <v>91900</v>
      </c>
      <c r="K17" s="57">
        <v>5</v>
      </c>
      <c r="L17" s="69">
        <f t="shared" si="2"/>
        <v>399500</v>
      </c>
      <c r="N17" s="113">
        <v>0.29980000000000001</v>
      </c>
      <c r="O17" s="69">
        <f t="shared" si="3"/>
        <v>135571</v>
      </c>
      <c r="P17" s="69">
        <f t="shared" si="4"/>
        <v>-28313</v>
      </c>
      <c r="R17" s="113">
        <v>0.1104</v>
      </c>
      <c r="S17" s="69">
        <f t="shared" si="5"/>
        <v>248176</v>
      </c>
      <c r="T17" s="69">
        <f t="shared" si="6"/>
        <v>7928</v>
      </c>
      <c r="V17" s="113">
        <v>5.3900000000000003E-2</v>
      </c>
      <c r="W17" s="69">
        <f t="shared" si="7"/>
        <v>393626</v>
      </c>
      <c r="X17" s="69">
        <f t="shared" si="8"/>
        <v>-5874</v>
      </c>
    </row>
    <row r="18" spans="1:24" ht="18.75">
      <c r="A18" s="55">
        <v>11</v>
      </c>
      <c r="B18" s="69">
        <v>89346</v>
      </c>
      <c r="C18" s="57">
        <v>3</v>
      </c>
      <c r="D18" s="69">
        <f t="shared" si="0"/>
        <v>208038</v>
      </c>
      <c r="F18" s="69">
        <v>96616</v>
      </c>
      <c r="G18" s="59">
        <v>4</v>
      </c>
      <c r="H18" s="69">
        <f t="shared" si="1"/>
        <v>306464</v>
      </c>
      <c r="J18" s="69">
        <v>56695</v>
      </c>
      <c r="K18" s="57">
        <v>5</v>
      </c>
      <c r="L18" s="69">
        <f t="shared" si="2"/>
        <v>223475</v>
      </c>
      <c r="N18" s="113">
        <v>0.32540000000000002</v>
      </c>
      <c r="O18" s="69">
        <f t="shared" si="3"/>
        <v>156645</v>
      </c>
      <c r="P18" s="69">
        <f t="shared" si="4"/>
        <v>-51393</v>
      </c>
      <c r="R18" s="113">
        <v>0.31609999999999999</v>
      </c>
      <c r="S18" s="69">
        <f t="shared" si="5"/>
        <v>203775</v>
      </c>
      <c r="T18" s="69">
        <f t="shared" si="6"/>
        <v>-102689</v>
      </c>
      <c r="V18" s="113">
        <v>0.31559999999999999</v>
      </c>
      <c r="W18" s="69">
        <f t="shared" si="7"/>
        <v>134060</v>
      </c>
      <c r="X18" s="69">
        <f t="shared" si="8"/>
        <v>-89415</v>
      </c>
    </row>
    <row r="19" spans="1:24" ht="18.75">
      <c r="A19" s="55">
        <v>12</v>
      </c>
      <c r="B19" s="69">
        <v>82708</v>
      </c>
      <c r="C19" s="57">
        <v>3</v>
      </c>
      <c r="D19" s="69">
        <f t="shared" si="0"/>
        <v>188124</v>
      </c>
      <c r="F19" s="69">
        <v>92272</v>
      </c>
      <c r="G19" s="59">
        <v>4</v>
      </c>
      <c r="H19" s="69">
        <f t="shared" si="1"/>
        <v>289088</v>
      </c>
      <c r="J19" s="69">
        <v>79610</v>
      </c>
      <c r="K19" s="57">
        <v>5</v>
      </c>
      <c r="L19" s="69">
        <f t="shared" si="2"/>
        <v>338050</v>
      </c>
      <c r="N19" s="113">
        <v>0.17599999999999999</v>
      </c>
      <c r="O19" s="69">
        <f t="shared" si="3"/>
        <v>180988</v>
      </c>
      <c r="P19" s="69">
        <f t="shared" si="4"/>
        <v>-7136</v>
      </c>
      <c r="R19" s="113">
        <v>0.1104</v>
      </c>
      <c r="S19" s="69">
        <f t="shared" si="5"/>
        <v>286025</v>
      </c>
      <c r="T19" s="69">
        <f t="shared" si="6"/>
        <v>-3063</v>
      </c>
      <c r="V19" s="113">
        <v>5.3900000000000003E-2</v>
      </c>
      <c r="W19" s="69">
        <f t="shared" si="7"/>
        <v>340985</v>
      </c>
      <c r="X19" s="69">
        <f t="shared" si="8"/>
        <v>2935</v>
      </c>
    </row>
    <row r="20" spans="1:24" ht="18.75">
      <c r="A20" s="55">
        <v>13</v>
      </c>
      <c r="B20" s="69">
        <v>88195</v>
      </c>
      <c r="C20" s="57">
        <v>3</v>
      </c>
      <c r="D20" s="69">
        <f t="shared" si="0"/>
        <v>204585</v>
      </c>
      <c r="F20" s="69">
        <v>87010</v>
      </c>
      <c r="G20" s="59">
        <v>4</v>
      </c>
      <c r="H20" s="69">
        <f t="shared" si="1"/>
        <v>268040</v>
      </c>
      <c r="J20" s="69">
        <v>93782</v>
      </c>
      <c r="K20" s="57">
        <v>5</v>
      </c>
      <c r="L20" s="69">
        <f t="shared" si="2"/>
        <v>408910</v>
      </c>
      <c r="N20" s="113">
        <v>0.17599999999999999</v>
      </c>
      <c r="O20" s="69">
        <f t="shared" si="3"/>
        <v>192995</v>
      </c>
      <c r="P20" s="69">
        <f t="shared" si="4"/>
        <v>-11590</v>
      </c>
      <c r="R20" s="113">
        <v>0.1104</v>
      </c>
      <c r="S20" s="69">
        <f t="shared" si="5"/>
        <v>269713</v>
      </c>
      <c r="T20" s="69">
        <f t="shared" si="6"/>
        <v>1673</v>
      </c>
      <c r="V20" s="113">
        <v>5.3900000000000003E-2</v>
      </c>
      <c r="W20" s="69">
        <f t="shared" si="7"/>
        <v>401687</v>
      </c>
      <c r="X20" s="69">
        <f t="shared" si="8"/>
        <v>-7223</v>
      </c>
    </row>
    <row r="21" spans="1:24" ht="18.75">
      <c r="A21" s="55">
        <v>14</v>
      </c>
      <c r="B21" s="69">
        <v>97568</v>
      </c>
      <c r="C21" s="57">
        <v>3</v>
      </c>
      <c r="D21" s="69">
        <f t="shared" si="0"/>
        <v>232704</v>
      </c>
      <c r="F21" s="69">
        <v>83408</v>
      </c>
      <c r="G21" s="59">
        <v>4</v>
      </c>
      <c r="H21" s="69">
        <f t="shared" si="1"/>
        <v>253632</v>
      </c>
      <c r="J21" s="69">
        <v>94598</v>
      </c>
      <c r="K21" s="57">
        <v>5</v>
      </c>
      <c r="L21" s="69">
        <f t="shared" si="2"/>
        <v>412990</v>
      </c>
      <c r="N21" s="113">
        <v>0.124</v>
      </c>
      <c r="O21" s="69">
        <f t="shared" si="3"/>
        <v>232740</v>
      </c>
      <c r="P21" s="69">
        <f t="shared" si="4"/>
        <v>36</v>
      </c>
      <c r="R21" s="113">
        <v>0.11799999999999999</v>
      </c>
      <c r="S21" s="69">
        <f t="shared" si="5"/>
        <v>254410</v>
      </c>
      <c r="T21" s="69">
        <f t="shared" si="6"/>
        <v>778</v>
      </c>
      <c r="V21" s="113">
        <v>4.7E-2</v>
      </c>
      <c r="W21" s="69">
        <f t="shared" si="7"/>
        <v>412979</v>
      </c>
      <c r="X21" s="69">
        <f t="shared" si="8"/>
        <v>-11</v>
      </c>
    </row>
    <row r="22" spans="1:24" ht="18.75">
      <c r="A22" s="55">
        <v>15</v>
      </c>
      <c r="B22" s="69">
        <v>93010</v>
      </c>
      <c r="C22" s="57">
        <v>3</v>
      </c>
      <c r="D22" s="69">
        <f t="shared" si="0"/>
        <v>219030</v>
      </c>
      <c r="F22" s="69">
        <v>96963</v>
      </c>
      <c r="G22" s="59">
        <v>4</v>
      </c>
      <c r="H22" s="69">
        <f t="shared" si="1"/>
        <v>307852</v>
      </c>
      <c r="J22" s="69">
        <v>89348</v>
      </c>
      <c r="K22" s="57">
        <v>5</v>
      </c>
      <c r="L22" s="69">
        <f t="shared" si="2"/>
        <v>386740</v>
      </c>
      <c r="N22" s="113">
        <v>0.17599999999999999</v>
      </c>
      <c r="O22" s="69">
        <f t="shared" si="3"/>
        <v>203532</v>
      </c>
      <c r="P22" s="69">
        <f t="shared" si="4"/>
        <v>-15498</v>
      </c>
      <c r="R22" s="113">
        <v>0.1104</v>
      </c>
      <c r="S22" s="69">
        <f t="shared" si="5"/>
        <v>300566</v>
      </c>
      <c r="T22" s="69">
        <f t="shared" si="6"/>
        <v>-7286</v>
      </c>
      <c r="V22" s="113">
        <v>5.3900000000000003E-2</v>
      </c>
      <c r="W22" s="69">
        <f t="shared" si="7"/>
        <v>382695</v>
      </c>
      <c r="X22" s="69">
        <f t="shared" si="8"/>
        <v>-4045</v>
      </c>
    </row>
    <row r="23" spans="1:24" ht="18.75">
      <c r="A23" s="55">
        <v>16</v>
      </c>
      <c r="B23" s="69">
        <v>93614</v>
      </c>
      <c r="C23" s="57">
        <v>3</v>
      </c>
      <c r="D23" s="69">
        <f t="shared" si="0"/>
        <v>220842</v>
      </c>
      <c r="F23" s="69">
        <v>85656</v>
      </c>
      <c r="G23" s="59">
        <v>4</v>
      </c>
      <c r="H23" s="69">
        <f t="shared" si="1"/>
        <v>262624</v>
      </c>
      <c r="J23" s="69">
        <v>83291</v>
      </c>
      <c r="K23" s="57">
        <v>5</v>
      </c>
      <c r="L23" s="69">
        <f t="shared" si="2"/>
        <v>356455</v>
      </c>
      <c r="N23" s="113">
        <v>0.17599999999999999</v>
      </c>
      <c r="O23" s="69">
        <f t="shared" si="3"/>
        <v>204854</v>
      </c>
      <c r="P23" s="69">
        <f t="shared" si="4"/>
        <v>-15988</v>
      </c>
      <c r="R23" s="113">
        <v>0.1104</v>
      </c>
      <c r="S23" s="69">
        <f t="shared" si="5"/>
        <v>265516</v>
      </c>
      <c r="T23" s="69">
        <f t="shared" si="6"/>
        <v>2892</v>
      </c>
      <c r="V23" s="113">
        <v>5.3900000000000003E-2</v>
      </c>
      <c r="W23" s="69">
        <f t="shared" si="7"/>
        <v>356752</v>
      </c>
      <c r="X23" s="69">
        <f t="shared" si="8"/>
        <v>297</v>
      </c>
    </row>
    <row r="24" spans="1:24" ht="18.75">
      <c r="A24" s="55">
        <v>17</v>
      </c>
      <c r="B24" s="69">
        <v>80604</v>
      </c>
      <c r="C24" s="57">
        <v>3</v>
      </c>
      <c r="D24" s="69">
        <f t="shared" si="0"/>
        <v>181812</v>
      </c>
      <c r="F24" s="69">
        <v>95878</v>
      </c>
      <c r="G24" s="59">
        <v>4</v>
      </c>
      <c r="H24" s="69">
        <f t="shared" si="1"/>
        <v>303512</v>
      </c>
      <c r="J24" s="69">
        <v>82712</v>
      </c>
      <c r="K24" s="57">
        <v>5</v>
      </c>
      <c r="L24" s="69">
        <f t="shared" si="2"/>
        <v>353560</v>
      </c>
      <c r="N24" s="113">
        <v>0.17599999999999999</v>
      </c>
      <c r="O24" s="69">
        <f t="shared" si="3"/>
        <v>176384</v>
      </c>
      <c r="P24" s="69">
        <f t="shared" si="4"/>
        <v>-5428</v>
      </c>
      <c r="R24" s="113">
        <v>0.1104</v>
      </c>
      <c r="S24" s="69">
        <f t="shared" si="5"/>
        <v>297202</v>
      </c>
      <c r="T24" s="69">
        <f t="shared" si="6"/>
        <v>-6310</v>
      </c>
      <c r="V24" s="113">
        <v>5.3900000000000003E-2</v>
      </c>
      <c r="W24" s="69">
        <f t="shared" si="7"/>
        <v>354272</v>
      </c>
      <c r="X24" s="69">
        <f t="shared" si="8"/>
        <v>712</v>
      </c>
    </row>
    <row r="25" spans="1:24" ht="18.75">
      <c r="A25" s="55">
        <v>18</v>
      </c>
      <c r="B25" s="69">
        <v>74972</v>
      </c>
      <c r="C25" s="57">
        <v>3</v>
      </c>
      <c r="D25" s="69">
        <f t="shared" si="0"/>
        <v>164916</v>
      </c>
      <c r="F25" s="69">
        <v>93189</v>
      </c>
      <c r="G25" s="59">
        <v>4</v>
      </c>
      <c r="H25" s="69">
        <f t="shared" si="1"/>
        <v>292756</v>
      </c>
      <c r="J25" s="69">
        <v>84539</v>
      </c>
      <c r="K25" s="57">
        <v>5</v>
      </c>
      <c r="L25" s="69">
        <f t="shared" si="2"/>
        <v>362695</v>
      </c>
      <c r="N25" s="113">
        <v>0.17280000000000001</v>
      </c>
      <c r="O25" s="69">
        <f t="shared" si="3"/>
        <v>164908</v>
      </c>
      <c r="P25" s="69">
        <f t="shared" si="4"/>
        <v>-8</v>
      </c>
      <c r="R25" s="113">
        <v>0.1042</v>
      </c>
      <c r="S25" s="69">
        <f t="shared" si="5"/>
        <v>292731</v>
      </c>
      <c r="T25" s="69">
        <f t="shared" si="6"/>
        <v>-25</v>
      </c>
      <c r="V25" s="113">
        <v>5.3900000000000003E-2</v>
      </c>
      <c r="W25" s="69">
        <f t="shared" si="7"/>
        <v>362097</v>
      </c>
      <c r="X25" s="69">
        <f t="shared" si="8"/>
        <v>-598</v>
      </c>
    </row>
    <row r="26" spans="1:24" ht="18.75">
      <c r="A26" s="55">
        <v>19</v>
      </c>
      <c r="B26" s="69">
        <v>97044</v>
      </c>
      <c r="C26" s="57">
        <v>3</v>
      </c>
      <c r="D26" s="69">
        <f t="shared" si="0"/>
        <v>231132</v>
      </c>
      <c r="F26" s="69">
        <v>86489</v>
      </c>
      <c r="G26" s="59">
        <v>4</v>
      </c>
      <c r="H26" s="69">
        <f t="shared" si="1"/>
        <v>265956</v>
      </c>
      <c r="J26" s="69">
        <v>86523</v>
      </c>
      <c r="K26" s="57">
        <v>5</v>
      </c>
      <c r="L26" s="69">
        <f t="shared" si="2"/>
        <v>372615</v>
      </c>
      <c r="N26" s="113">
        <v>0.17599999999999999</v>
      </c>
      <c r="O26" s="69">
        <f t="shared" si="3"/>
        <v>212360</v>
      </c>
      <c r="P26" s="69">
        <f t="shared" si="4"/>
        <v>-18772</v>
      </c>
      <c r="R26" s="113">
        <v>0.1104</v>
      </c>
      <c r="S26" s="69">
        <f t="shared" si="5"/>
        <v>268098</v>
      </c>
      <c r="T26" s="69">
        <f t="shared" si="6"/>
        <v>2142</v>
      </c>
      <c r="V26" s="113">
        <v>5.33E-2</v>
      </c>
      <c r="W26" s="69">
        <f t="shared" si="7"/>
        <v>371207</v>
      </c>
      <c r="X26" s="69">
        <f t="shared" si="8"/>
        <v>-1408</v>
      </c>
    </row>
    <row r="27" spans="1:24" ht="18.75">
      <c r="A27" s="55">
        <v>20</v>
      </c>
      <c r="B27" s="69">
        <v>88191</v>
      </c>
      <c r="C27" s="57">
        <v>3</v>
      </c>
      <c r="D27" s="69">
        <f t="shared" si="0"/>
        <v>204573</v>
      </c>
      <c r="F27" s="69">
        <v>87098</v>
      </c>
      <c r="G27" s="59">
        <v>4</v>
      </c>
      <c r="H27" s="69">
        <f t="shared" si="1"/>
        <v>268392</v>
      </c>
      <c r="J27" s="69">
        <v>77268</v>
      </c>
      <c r="K27" s="57">
        <v>5</v>
      </c>
      <c r="L27" s="69">
        <f t="shared" si="2"/>
        <v>326340</v>
      </c>
      <c r="N27" s="113">
        <v>0.17599999999999999</v>
      </c>
      <c r="O27" s="69">
        <f t="shared" si="3"/>
        <v>192987</v>
      </c>
      <c r="P27" s="69">
        <f t="shared" si="4"/>
        <v>-11586</v>
      </c>
      <c r="R27" s="113">
        <v>0.1104</v>
      </c>
      <c r="S27" s="69">
        <f t="shared" si="5"/>
        <v>269986</v>
      </c>
      <c r="T27" s="69">
        <f t="shared" si="6"/>
        <v>1594</v>
      </c>
      <c r="V27" s="113">
        <v>5.3900000000000003E-2</v>
      </c>
      <c r="W27" s="69">
        <f t="shared" si="7"/>
        <v>330954</v>
      </c>
      <c r="X27" s="69">
        <f t="shared" si="8"/>
        <v>4614</v>
      </c>
    </row>
    <row r="28" spans="1:24" ht="18.75">
      <c r="A28" s="55">
        <v>21</v>
      </c>
      <c r="B28" s="69">
        <v>86781</v>
      </c>
      <c r="C28" s="57">
        <v>3</v>
      </c>
      <c r="D28" s="69">
        <f t="shared" si="0"/>
        <v>200343</v>
      </c>
      <c r="F28" s="69">
        <v>88472</v>
      </c>
      <c r="G28" s="59">
        <v>4</v>
      </c>
      <c r="H28" s="69">
        <f t="shared" si="1"/>
        <v>273888</v>
      </c>
      <c r="J28" s="69">
        <v>85731</v>
      </c>
      <c r="K28" s="57">
        <v>5</v>
      </c>
      <c r="L28" s="69">
        <f t="shared" si="2"/>
        <v>368655</v>
      </c>
      <c r="N28" s="113">
        <v>0.17599999999999999</v>
      </c>
      <c r="O28" s="69">
        <f t="shared" si="3"/>
        <v>189901</v>
      </c>
      <c r="P28" s="69">
        <f t="shared" si="4"/>
        <v>-10442</v>
      </c>
      <c r="R28" s="113">
        <v>0.1104</v>
      </c>
      <c r="S28" s="69">
        <f t="shared" si="5"/>
        <v>274245</v>
      </c>
      <c r="T28" s="69">
        <f t="shared" si="6"/>
        <v>357</v>
      </c>
      <c r="V28" s="113">
        <v>5.3900000000000003E-2</v>
      </c>
      <c r="W28" s="69">
        <f t="shared" si="7"/>
        <v>367203</v>
      </c>
      <c r="X28" s="69">
        <f t="shared" si="8"/>
        <v>-1452</v>
      </c>
    </row>
    <row r="29" spans="1:24" ht="18.75">
      <c r="A29" s="55">
        <v>22</v>
      </c>
      <c r="B29" s="69">
        <v>91097</v>
      </c>
      <c r="C29" s="57">
        <v>3</v>
      </c>
      <c r="D29" s="69">
        <f t="shared" si="0"/>
        <v>213291</v>
      </c>
      <c r="F29" s="69">
        <v>93465</v>
      </c>
      <c r="G29" s="59">
        <v>4</v>
      </c>
      <c r="H29" s="69">
        <f t="shared" si="1"/>
        <v>293860</v>
      </c>
      <c r="J29" s="69">
        <v>93976</v>
      </c>
      <c r="K29" s="57">
        <v>5</v>
      </c>
      <c r="L29" s="69">
        <f t="shared" si="2"/>
        <v>409880</v>
      </c>
      <c r="N29" s="113">
        <v>0.17599999999999999</v>
      </c>
      <c r="O29" s="69">
        <f t="shared" si="3"/>
        <v>199346</v>
      </c>
      <c r="P29" s="69">
        <f t="shared" si="4"/>
        <v>-13945</v>
      </c>
      <c r="R29" s="113">
        <v>0.1104</v>
      </c>
      <c r="S29" s="69">
        <f t="shared" si="5"/>
        <v>289723</v>
      </c>
      <c r="T29" s="69">
        <f t="shared" si="6"/>
        <v>-4137</v>
      </c>
      <c r="V29" s="113">
        <v>5.3900000000000003E-2</v>
      </c>
      <c r="W29" s="69">
        <f t="shared" si="7"/>
        <v>402518</v>
      </c>
      <c r="X29" s="69">
        <f t="shared" si="8"/>
        <v>-7362</v>
      </c>
    </row>
    <row r="30" spans="1:24" ht="18.75">
      <c r="A30" s="55">
        <v>23</v>
      </c>
      <c r="B30" s="69">
        <v>77736</v>
      </c>
      <c r="C30" s="57">
        <v>3</v>
      </c>
      <c r="D30" s="69">
        <f t="shared" si="0"/>
        <v>173208</v>
      </c>
      <c r="F30" s="69">
        <v>97778</v>
      </c>
      <c r="G30" s="59">
        <v>4</v>
      </c>
      <c r="H30" s="69">
        <f t="shared" si="1"/>
        <v>311112</v>
      </c>
      <c r="J30" s="69">
        <v>88535</v>
      </c>
      <c r="K30" s="57">
        <v>5</v>
      </c>
      <c r="L30" s="69">
        <f t="shared" si="2"/>
        <v>382675</v>
      </c>
      <c r="N30" s="113">
        <v>0.17599999999999999</v>
      </c>
      <c r="O30" s="69">
        <f t="shared" si="3"/>
        <v>170108</v>
      </c>
      <c r="P30" s="69">
        <f t="shared" si="4"/>
        <v>-3100</v>
      </c>
      <c r="R30" s="113">
        <v>0.1104</v>
      </c>
      <c r="S30" s="69">
        <f t="shared" si="5"/>
        <v>303092</v>
      </c>
      <c r="T30" s="69">
        <f t="shared" si="6"/>
        <v>-8020</v>
      </c>
      <c r="V30" s="113">
        <v>5.3900000000000003E-2</v>
      </c>
      <c r="W30" s="69">
        <f t="shared" si="7"/>
        <v>379213</v>
      </c>
      <c r="X30" s="69">
        <f t="shared" si="8"/>
        <v>-3462</v>
      </c>
    </row>
    <row r="31" spans="1:24" ht="18.75">
      <c r="A31" s="55">
        <v>24</v>
      </c>
      <c r="B31" s="69">
        <v>96324</v>
      </c>
      <c r="C31" s="57">
        <v>3</v>
      </c>
      <c r="D31" s="69">
        <f t="shared" si="0"/>
        <v>228972</v>
      </c>
      <c r="F31" s="69">
        <v>86313</v>
      </c>
      <c r="G31" s="59">
        <v>4</v>
      </c>
      <c r="H31" s="69">
        <f t="shared" si="1"/>
        <v>265252</v>
      </c>
      <c r="J31" s="69">
        <v>92919</v>
      </c>
      <c r="K31" s="57">
        <v>5</v>
      </c>
      <c r="L31" s="69">
        <f t="shared" si="2"/>
        <v>404595</v>
      </c>
      <c r="N31" s="113">
        <v>0.17599999999999999</v>
      </c>
      <c r="O31" s="69">
        <f t="shared" si="3"/>
        <v>210784</v>
      </c>
      <c r="P31" s="69">
        <f t="shared" si="4"/>
        <v>-18188</v>
      </c>
      <c r="R31" s="113">
        <v>0.1104</v>
      </c>
      <c r="S31" s="69">
        <f t="shared" si="5"/>
        <v>267553</v>
      </c>
      <c r="T31" s="69">
        <f t="shared" si="6"/>
        <v>2301</v>
      </c>
      <c r="V31" s="113">
        <v>5.3900000000000003E-2</v>
      </c>
      <c r="W31" s="69">
        <f t="shared" si="7"/>
        <v>397990</v>
      </c>
      <c r="X31" s="69">
        <f t="shared" si="8"/>
        <v>-6605</v>
      </c>
    </row>
    <row r="32" spans="1:24" ht="19.5" thickBot="1">
      <c r="A32" s="64">
        <v>25</v>
      </c>
      <c r="B32" s="72">
        <v>89502</v>
      </c>
      <c r="C32" s="75">
        <v>3</v>
      </c>
      <c r="D32" s="72">
        <f t="shared" si="0"/>
        <v>208506</v>
      </c>
      <c r="E32" s="75"/>
      <c r="F32" s="72">
        <v>95928</v>
      </c>
      <c r="G32" s="114">
        <v>4</v>
      </c>
      <c r="H32" s="72">
        <f t="shared" si="1"/>
        <v>303712</v>
      </c>
      <c r="I32" s="75"/>
      <c r="J32" s="72">
        <v>91709</v>
      </c>
      <c r="K32" s="75">
        <v>5</v>
      </c>
      <c r="L32" s="72">
        <f t="shared" si="2"/>
        <v>398545</v>
      </c>
      <c r="M32" s="75"/>
      <c r="N32" s="115">
        <v>0.17599999999999999</v>
      </c>
      <c r="O32" s="72">
        <f t="shared" si="3"/>
        <v>195856</v>
      </c>
      <c r="P32" s="72">
        <f t="shared" si="4"/>
        <v>-12650</v>
      </c>
      <c r="Q32" s="75"/>
      <c r="R32" s="115">
        <v>0.1104</v>
      </c>
      <c r="S32" s="72">
        <f t="shared" si="5"/>
        <v>297357</v>
      </c>
      <c r="T32" s="72">
        <f t="shared" si="6"/>
        <v>-6355</v>
      </c>
      <c r="U32" s="75"/>
      <c r="V32" s="115">
        <v>5.3900000000000003E-2</v>
      </c>
      <c r="W32" s="72">
        <f t="shared" si="7"/>
        <v>392808</v>
      </c>
      <c r="X32" s="72">
        <f t="shared" si="8"/>
        <v>-5737</v>
      </c>
    </row>
    <row r="33" spans="2:8">
      <c r="B33" s="69"/>
      <c r="D33" s="69"/>
    </row>
    <row r="34" spans="2:8">
      <c r="E34" s="69"/>
      <c r="F34" s="57"/>
      <c r="G34" s="69"/>
      <c r="H34" s="106"/>
    </row>
    <row r="35" spans="2:8">
      <c r="E35" s="69"/>
      <c r="F35" s="57"/>
      <c r="G35" s="69"/>
      <c r="H35" s="106"/>
    </row>
    <row r="36" spans="2:8">
      <c r="E36" s="69"/>
      <c r="F36" s="57"/>
      <c r="G36" s="69"/>
      <c r="H36" s="106"/>
    </row>
    <row r="37" spans="2:8">
      <c r="E37" s="69"/>
      <c r="F37" s="57"/>
      <c r="G37" s="69"/>
      <c r="H37" s="106"/>
    </row>
    <row r="38" spans="2:8">
      <c r="E38" s="69"/>
      <c r="F38" s="57"/>
      <c r="G38" s="69"/>
      <c r="H38" s="106"/>
    </row>
    <row r="39" spans="2:8">
      <c r="E39" s="69"/>
      <c r="F39" s="57"/>
      <c r="G39" s="69"/>
      <c r="H39" s="106"/>
    </row>
    <row r="40" spans="2:8">
      <c r="E40" s="69"/>
      <c r="F40" s="57"/>
      <c r="G40" s="69"/>
      <c r="H40" s="106"/>
    </row>
    <row r="41" spans="2:8">
      <c r="E41" s="69"/>
      <c r="F41" s="57"/>
      <c r="G41" s="69"/>
      <c r="H41" s="106"/>
    </row>
    <row r="42" spans="2:8">
      <c r="E42" s="69"/>
      <c r="F42" s="57"/>
      <c r="G42" s="69"/>
      <c r="H42" s="106"/>
    </row>
    <row r="43" spans="2:8">
      <c r="E43" s="69"/>
      <c r="F43" s="57"/>
      <c r="G43" s="69"/>
      <c r="H43" s="106"/>
    </row>
    <row r="44" spans="2:8">
      <c r="E44" s="69"/>
      <c r="F44" s="57"/>
      <c r="G44" s="69"/>
      <c r="H44" s="106"/>
    </row>
    <row r="45" spans="2:8">
      <c r="E45" s="69"/>
      <c r="F45" s="57"/>
      <c r="G45" s="69"/>
      <c r="H45" s="106"/>
    </row>
    <row r="46" spans="2:8">
      <c r="E46" s="69"/>
      <c r="F46" s="57"/>
      <c r="G46" s="69"/>
      <c r="H46" s="106"/>
    </row>
    <row r="47" spans="2:8">
      <c r="E47" s="69"/>
      <c r="F47" s="57"/>
      <c r="G47" s="69"/>
      <c r="H47" s="106"/>
    </row>
    <row r="48" spans="2:8">
      <c r="E48" s="69"/>
      <c r="F48" s="57"/>
      <c r="G48" s="69"/>
      <c r="H48" s="106"/>
    </row>
    <row r="49" spans="5:8">
      <c r="E49" s="69"/>
      <c r="F49" s="57"/>
      <c r="G49" s="69"/>
      <c r="H49" s="106"/>
    </row>
    <row r="50" spans="5:8">
      <c r="E50" s="69"/>
      <c r="F50" s="57"/>
      <c r="G50" s="69"/>
      <c r="H50" s="106"/>
    </row>
    <row r="51" spans="5:8">
      <c r="E51" s="69"/>
      <c r="F51" s="57"/>
      <c r="G51" s="69"/>
      <c r="H51" s="106"/>
    </row>
    <row r="52" spans="5:8">
      <c r="E52" s="69"/>
      <c r="F52" s="57"/>
      <c r="G52" s="69"/>
      <c r="H52" s="106"/>
    </row>
    <row r="53" spans="5:8">
      <c r="E53" s="69"/>
      <c r="F53" s="57"/>
      <c r="G53" s="69"/>
      <c r="H53" s="106"/>
    </row>
    <row r="54" spans="5:8">
      <c r="E54" s="69"/>
      <c r="F54" s="57"/>
      <c r="G54" s="69"/>
      <c r="H54" s="106"/>
    </row>
    <row r="55" spans="5:8">
      <c r="E55" s="69"/>
      <c r="F55" s="57"/>
      <c r="G55" s="69"/>
    </row>
    <row r="56" spans="5:8">
      <c r="E56" s="69"/>
      <c r="F56" s="57"/>
      <c r="G56" s="69"/>
    </row>
    <row r="57" spans="5:8">
      <c r="E57" s="69"/>
      <c r="F57" s="57"/>
      <c r="G57" s="69"/>
    </row>
    <row r="58" spans="5:8">
      <c r="E58" s="69"/>
      <c r="F58" s="57"/>
      <c r="G58" s="69"/>
    </row>
  </sheetData>
  <phoneticPr fontId="4" type="noConversion"/>
  <pageMargins left="0.34" right="0.36" top="0.17" bottom="0.15" header="0" footer="0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46"/>
  <sheetViews>
    <sheetView topLeftCell="A40" workbookViewId="0">
      <selection activeCell="C42" sqref="C42"/>
    </sheetView>
  </sheetViews>
  <sheetFormatPr baseColWidth="10" defaultRowHeight="15.75"/>
  <cols>
    <col min="1" max="1" width="7" style="55" customWidth="1"/>
    <col min="2" max="2" width="13" style="57" customWidth="1"/>
    <col min="3" max="3" width="18.85546875" style="57" customWidth="1"/>
    <col min="4" max="4" width="3.42578125" style="57" customWidth="1"/>
    <col min="5" max="5" width="10.42578125" style="57" customWidth="1"/>
    <col min="6" max="8" width="11.42578125" style="57"/>
    <col min="9" max="10" width="12.5703125" style="57" customWidth="1"/>
    <col min="11" max="11" width="13.140625" style="57" customWidth="1"/>
    <col min="12" max="12" width="13.5703125" style="57" customWidth="1"/>
    <col min="13" max="13" width="17.85546875" style="57" customWidth="1"/>
    <col min="14" max="14" width="16.42578125" style="57" customWidth="1"/>
    <col min="15" max="16384" width="11.42578125" style="57"/>
  </cols>
  <sheetData>
    <row r="1" spans="1:14">
      <c r="B1" s="56" t="s">
        <v>6</v>
      </c>
    </row>
    <row r="2" spans="1:14">
      <c r="A2" s="55" t="s">
        <v>20</v>
      </c>
      <c r="B2" s="57" t="s">
        <v>61</v>
      </c>
    </row>
    <row r="3" spans="1:14">
      <c r="B3" s="57" t="s">
        <v>62</v>
      </c>
      <c r="M3" s="70"/>
    </row>
    <row r="4" spans="1:14">
      <c r="B4" s="57" t="s">
        <v>22</v>
      </c>
      <c r="M4" s="70"/>
    </row>
    <row r="5" spans="1:14">
      <c r="B5" s="57" t="s">
        <v>24</v>
      </c>
    </row>
    <row r="6" spans="1:14">
      <c r="B6" s="57" t="s">
        <v>23</v>
      </c>
      <c r="N6" s="116"/>
    </row>
    <row r="7" spans="1:14">
      <c r="B7" s="57" t="s">
        <v>71</v>
      </c>
      <c r="N7" s="116"/>
    </row>
    <row r="8" spans="1:14">
      <c r="B8" s="57" t="s">
        <v>21</v>
      </c>
      <c r="N8" s="116"/>
    </row>
    <row r="9" spans="1:14">
      <c r="B9" s="57" t="s">
        <v>48</v>
      </c>
      <c r="N9" s="116"/>
    </row>
    <row r="10" spans="1:14" ht="16.5" thickBot="1">
      <c r="N10" s="116"/>
    </row>
    <row r="11" spans="1:14">
      <c r="H11" s="117" t="s">
        <v>163</v>
      </c>
      <c r="N11" s="116"/>
    </row>
    <row r="12" spans="1:14">
      <c r="F12" s="57">
        <f>B15*12</f>
        <v>3697800</v>
      </c>
      <c r="H12" s="118" t="s">
        <v>164</v>
      </c>
      <c r="I12" s="57">
        <f>24*B15</f>
        <v>7395600</v>
      </c>
      <c r="N12" s="116"/>
    </row>
    <row r="13" spans="1:14">
      <c r="G13" s="119" t="s">
        <v>165</v>
      </c>
      <c r="H13" s="118" t="s">
        <v>166</v>
      </c>
      <c r="I13" s="119" t="s">
        <v>167</v>
      </c>
      <c r="J13" s="119" t="s">
        <v>168</v>
      </c>
      <c r="K13" s="119" t="s">
        <v>166</v>
      </c>
      <c r="L13" s="119" t="s">
        <v>167</v>
      </c>
    </row>
    <row r="14" spans="1:14" ht="19.5" customHeight="1" thickBot="1">
      <c r="A14" s="64" t="s">
        <v>3</v>
      </c>
      <c r="B14" s="65" t="s">
        <v>13</v>
      </c>
      <c r="C14" s="66" t="s">
        <v>70</v>
      </c>
      <c r="D14" s="75"/>
      <c r="E14" s="66" t="s">
        <v>169</v>
      </c>
      <c r="F14" s="66" t="s">
        <v>170</v>
      </c>
      <c r="G14" s="66"/>
      <c r="H14" s="120" t="s">
        <v>171</v>
      </c>
      <c r="I14" s="121" t="s">
        <v>172</v>
      </c>
      <c r="J14" s="66" t="s">
        <v>173</v>
      </c>
      <c r="K14" s="66" t="s">
        <v>171</v>
      </c>
      <c r="L14" s="121" t="s">
        <v>174</v>
      </c>
      <c r="M14" s="66" t="s">
        <v>175</v>
      </c>
    </row>
    <row r="15" spans="1:14">
      <c r="A15" s="55">
        <v>1</v>
      </c>
      <c r="B15" s="69">
        <v>308150</v>
      </c>
      <c r="C15" s="58">
        <v>8.9599999999999999E-2</v>
      </c>
      <c r="E15" s="122">
        <f>POWER(1+C15,1/12)-1</f>
        <v>7.1765166870538799E-3</v>
      </c>
      <c r="F15" s="71">
        <f>($B15/$E15)*(1-1/POWER(1+$E15,12))</f>
        <v>3530932.2788424902</v>
      </c>
      <c r="G15" s="69">
        <f>F15*2</f>
        <v>7061864.5576849803</v>
      </c>
      <c r="H15" s="55">
        <v>26</v>
      </c>
      <c r="I15" s="69">
        <f>($B15/$E15)*(1-1/POWER(1+$E15,H15))</f>
        <v>7285082.1108459774</v>
      </c>
      <c r="J15" s="69">
        <f>F15*4</f>
        <v>14123729.115369961</v>
      </c>
      <c r="K15" s="56">
        <v>56</v>
      </c>
      <c r="L15" s="69">
        <f>($B15/$E15)*(1-1/POWER(1+$E15,K15))</f>
        <v>14168956.498182926</v>
      </c>
      <c r="M15" s="69">
        <f>L15-J15</f>
        <v>45227.382812965661</v>
      </c>
    </row>
    <row r="16" spans="1:14">
      <c r="A16" s="55">
        <v>2</v>
      </c>
      <c r="B16" s="69">
        <v>303102</v>
      </c>
      <c r="C16" s="58">
        <v>8.4699999999999998E-2</v>
      </c>
      <c r="E16" s="122">
        <f>POWER(1+C16,1/12)-1</f>
        <v>6.7982917736004733E-3</v>
      </c>
      <c r="F16" s="71">
        <f>($B16/$E16)*(1-1/POWER(1+$E16,12))</f>
        <v>3481470.9222042854</v>
      </c>
      <c r="G16" s="69">
        <f>F16*2</f>
        <v>6962941.8444085708</v>
      </c>
      <c r="H16" s="55">
        <v>26</v>
      </c>
      <c r="I16" s="69">
        <f>($B16/$E16)*(1-1/POWER(1+$E16,H16))</f>
        <v>7201108.6231217077</v>
      </c>
      <c r="J16" s="69">
        <f>F16*4</f>
        <v>13925883.688817142</v>
      </c>
      <c r="K16" s="56">
        <v>56</v>
      </c>
      <c r="L16" s="69">
        <f>($B16/$E16)*(1-1/POWER(1+$E16,K16))</f>
        <v>14077238.425137283</v>
      </c>
      <c r="M16" s="69">
        <f>L16-J16</f>
        <v>151354.7363201417</v>
      </c>
    </row>
    <row r="17" spans="1:13">
      <c r="A17" s="55">
        <v>3</v>
      </c>
      <c r="B17" s="69">
        <v>299428</v>
      </c>
      <c r="C17" s="58">
        <v>9.0499999999999997E-2</v>
      </c>
      <c r="E17" s="122">
        <f t="shared" ref="E17:E39" si="0">POWER(1+C17,1/12)-1</f>
        <v>7.2458170327041049E-3</v>
      </c>
      <c r="F17" s="71">
        <f t="shared" ref="F17:F39" si="1">($B17/$E17)*(1-1/POWER(1+$E17,12))</f>
        <v>3429477.4810838723</v>
      </c>
      <c r="G17" s="69">
        <f t="shared" ref="G17:G39" si="2">F17*2</f>
        <v>6858954.9621677445</v>
      </c>
      <c r="H17" s="55">
        <v>26</v>
      </c>
      <c r="I17" s="69">
        <f t="shared" ref="I17:I39" si="3">($B17/$E17)*(1-1/POWER(1+$E17,H17))</f>
        <v>7072506.6003504796</v>
      </c>
      <c r="J17" s="69">
        <f t="shared" ref="J17:J39" si="4">F17*4</f>
        <v>13717909.924335489</v>
      </c>
      <c r="K17" s="56">
        <v>56</v>
      </c>
      <c r="L17" s="69">
        <f t="shared" ref="L17:L39" si="5">($B17/$E17)*(1-1/POWER(1+$E17,K17))</f>
        <v>13742711.482493566</v>
      </c>
      <c r="M17" s="69">
        <f t="shared" ref="M17:M39" si="6">L17-J17</f>
        <v>24801.5581580773</v>
      </c>
    </row>
    <row r="18" spans="1:13">
      <c r="A18" s="55">
        <v>4</v>
      </c>
      <c r="B18" s="69">
        <v>298321</v>
      </c>
      <c r="C18" s="58">
        <v>8.7400000000000005E-2</v>
      </c>
      <c r="E18" s="122">
        <f t="shared" si="0"/>
        <v>7.0068946918386832E-3</v>
      </c>
      <c r="F18" s="71">
        <f t="shared" si="1"/>
        <v>3422002.6355169984</v>
      </c>
      <c r="G18" s="69">
        <f t="shared" si="2"/>
        <v>6844005.2710339967</v>
      </c>
      <c r="H18" s="55">
        <v>26</v>
      </c>
      <c r="I18" s="69">
        <f t="shared" si="3"/>
        <v>7068292.809283114</v>
      </c>
      <c r="J18" s="69">
        <f t="shared" si="4"/>
        <v>13688010.542067993</v>
      </c>
      <c r="K18" s="56">
        <v>56</v>
      </c>
      <c r="L18" s="69">
        <f t="shared" si="5"/>
        <v>13778740.606799465</v>
      </c>
      <c r="M18" s="69">
        <f t="shared" si="6"/>
        <v>90730.064731471241</v>
      </c>
    </row>
    <row r="19" spans="1:13">
      <c r="A19" s="55">
        <v>5</v>
      </c>
      <c r="B19" s="69">
        <v>293997</v>
      </c>
      <c r="C19" s="58">
        <v>8.4599999999999995E-2</v>
      </c>
      <c r="E19" s="122">
        <f t="shared" si="0"/>
        <v>6.7905566023096497E-3</v>
      </c>
      <c r="F19" s="71">
        <f t="shared" si="1"/>
        <v>3377056.2003843649</v>
      </c>
      <c r="G19" s="69">
        <f t="shared" si="2"/>
        <v>6754112.4007687299</v>
      </c>
      <c r="H19" s="55">
        <v>26</v>
      </c>
      <c r="I19" s="69">
        <f t="shared" si="3"/>
        <v>6985495.7624984505</v>
      </c>
      <c r="J19" s="69">
        <f t="shared" si="4"/>
        <v>13508224.80153746</v>
      </c>
      <c r="K19" s="56">
        <v>56</v>
      </c>
      <c r="L19" s="69">
        <f t="shared" si="5"/>
        <v>13657171.704131976</v>
      </c>
      <c r="M19" s="69">
        <f t="shared" si="6"/>
        <v>148946.90259451605</v>
      </c>
    </row>
    <row r="20" spans="1:13">
      <c r="A20" s="55">
        <v>6</v>
      </c>
      <c r="B20" s="69">
        <v>266948</v>
      </c>
      <c r="C20" s="58">
        <v>9.1499999999999998E-2</v>
      </c>
      <c r="E20" s="122">
        <f t="shared" si="0"/>
        <v>7.3227559539175147E-3</v>
      </c>
      <c r="F20" s="71">
        <f t="shared" si="1"/>
        <v>3055972.6621015402</v>
      </c>
      <c r="G20" s="69">
        <f>F20*2</f>
        <v>6111945.3242030805</v>
      </c>
      <c r="H20" s="55">
        <v>26</v>
      </c>
      <c r="I20" s="69">
        <f t="shared" si="3"/>
        <v>6299024.9607615313</v>
      </c>
      <c r="J20" s="69">
        <f>F20*4</f>
        <v>12223890.648406161</v>
      </c>
      <c r="K20" s="56">
        <v>56</v>
      </c>
      <c r="L20" s="69">
        <f t="shared" si="5"/>
        <v>12227115.111561909</v>
      </c>
      <c r="M20" s="69">
        <f t="shared" si="6"/>
        <v>3224.4631557483226</v>
      </c>
    </row>
    <row r="21" spans="1:13">
      <c r="A21" s="55">
        <v>7</v>
      </c>
      <c r="B21" s="69">
        <v>263459</v>
      </c>
      <c r="C21" s="58">
        <v>8.43E-2</v>
      </c>
      <c r="E21" s="122">
        <f t="shared" si="0"/>
        <v>6.7673471653078021E-3</v>
      </c>
      <c r="F21" s="71">
        <f t="shared" si="1"/>
        <v>3026723.1572383237</v>
      </c>
      <c r="G21" s="69">
        <f t="shared" si="2"/>
        <v>6053446.3144766474</v>
      </c>
      <c r="H21" s="55">
        <v>26</v>
      </c>
      <c r="I21" s="69">
        <f t="shared" si="3"/>
        <v>6261793.350127425</v>
      </c>
      <c r="J21" s="69">
        <f t="shared" si="4"/>
        <v>12106892.628953295</v>
      </c>
      <c r="K21" s="56">
        <v>56</v>
      </c>
      <c r="L21" s="69">
        <f t="shared" si="5"/>
        <v>12246123.043025527</v>
      </c>
      <c r="M21" s="69">
        <f t="shared" si="6"/>
        <v>139230.41407223232</v>
      </c>
    </row>
    <row r="22" spans="1:13">
      <c r="A22" s="55">
        <v>8</v>
      </c>
      <c r="B22" s="69">
        <v>250226</v>
      </c>
      <c r="C22" s="58">
        <v>8.6800000000000002E-2</v>
      </c>
      <c r="E22" s="122">
        <f t="shared" si="0"/>
        <v>6.9605795523617342E-3</v>
      </c>
      <c r="F22" s="71">
        <f t="shared" si="1"/>
        <v>2871158.2325727139</v>
      </c>
      <c r="G22" s="69">
        <f t="shared" si="2"/>
        <v>5742316.4651454277</v>
      </c>
      <c r="H22" s="55">
        <v>26</v>
      </c>
      <c r="I22" s="69">
        <f t="shared" si="3"/>
        <v>5932325.6814619964</v>
      </c>
      <c r="J22" s="69">
        <f t="shared" si="4"/>
        <v>11484632.930290855</v>
      </c>
      <c r="K22" s="56">
        <v>56</v>
      </c>
      <c r="L22" s="69">
        <f t="shared" si="5"/>
        <v>11571540.793775959</v>
      </c>
      <c r="M22" s="69">
        <f t="shared" si="6"/>
        <v>86907.863485103473</v>
      </c>
    </row>
    <row r="23" spans="1:13">
      <c r="A23" s="55">
        <v>9</v>
      </c>
      <c r="B23" s="69">
        <v>249437</v>
      </c>
      <c r="C23" s="58">
        <v>8.43E-2</v>
      </c>
      <c r="E23" s="122">
        <f t="shared" si="0"/>
        <v>6.7673471653078021E-3</v>
      </c>
      <c r="F23" s="71">
        <f t="shared" si="1"/>
        <v>2865632.7708374192</v>
      </c>
      <c r="G23" s="69">
        <f t="shared" si="2"/>
        <v>5731265.5416748384</v>
      </c>
      <c r="H23" s="55">
        <v>26</v>
      </c>
      <c r="I23" s="69">
        <f t="shared" si="3"/>
        <v>5928523.7850129781</v>
      </c>
      <c r="J23" s="69">
        <f t="shared" si="4"/>
        <v>11462531.083349677</v>
      </c>
      <c r="K23" s="56">
        <v>56</v>
      </c>
      <c r="L23" s="69">
        <f t="shared" si="5"/>
        <v>11594351.278503137</v>
      </c>
      <c r="M23" s="69">
        <f t="shared" si="6"/>
        <v>131820.19515345991</v>
      </c>
    </row>
    <row r="24" spans="1:13">
      <c r="A24" s="55">
        <v>10</v>
      </c>
      <c r="B24" s="69">
        <v>232958</v>
      </c>
      <c r="C24" s="58">
        <v>8.6999999999999994E-2</v>
      </c>
      <c r="E24" s="122">
        <f t="shared" si="0"/>
        <v>6.9760205359368221E-3</v>
      </c>
      <c r="F24" s="71">
        <f t="shared" si="1"/>
        <v>2672757.6869145907</v>
      </c>
      <c r="G24" s="69">
        <f t="shared" si="2"/>
        <v>5345515.3738291813</v>
      </c>
      <c r="H24" s="55">
        <v>26</v>
      </c>
      <c r="I24" s="69">
        <f t="shared" si="3"/>
        <v>5521828.0345867584</v>
      </c>
      <c r="J24" s="69">
        <f t="shared" si="4"/>
        <v>10691030.747658363</v>
      </c>
      <c r="K24" s="56">
        <v>56</v>
      </c>
      <c r="L24" s="69">
        <f t="shared" si="5"/>
        <v>10768585.009893466</v>
      </c>
      <c r="M24" s="69">
        <f t="shared" si="6"/>
        <v>77554.262235103175</v>
      </c>
    </row>
    <row r="25" spans="1:13">
      <c r="A25" s="55">
        <v>11</v>
      </c>
      <c r="B25" s="69">
        <v>230980</v>
      </c>
      <c r="C25" s="58">
        <v>8.8300000000000003E-2</v>
      </c>
      <c r="E25" s="122">
        <f t="shared" si="0"/>
        <v>7.076323496324699E-3</v>
      </c>
      <c r="F25" s="71">
        <f t="shared" si="1"/>
        <v>2648370.6899841637</v>
      </c>
      <c r="G25" s="69">
        <f t="shared" si="2"/>
        <v>5296741.3799683275</v>
      </c>
      <c r="H25" s="55">
        <v>26</v>
      </c>
      <c r="I25" s="69">
        <f t="shared" si="3"/>
        <v>5467800.765674565</v>
      </c>
      <c r="J25" s="69">
        <f t="shared" si="4"/>
        <v>10593482.759936655</v>
      </c>
      <c r="K25" s="56">
        <v>56</v>
      </c>
      <c r="L25" s="69">
        <f t="shared" si="5"/>
        <v>10648819.950455422</v>
      </c>
      <c r="M25" s="69">
        <f t="shared" si="6"/>
        <v>55337.190518766642</v>
      </c>
    </row>
    <row r="26" spans="1:13">
      <c r="A26" s="55">
        <v>12</v>
      </c>
      <c r="B26" s="69">
        <v>220140</v>
      </c>
      <c r="C26" s="58">
        <v>8.6300000000000002E-2</v>
      </c>
      <c r="E26" s="122">
        <f t="shared" si="0"/>
        <v>6.921965694651977E-3</v>
      </c>
      <c r="F26" s="71">
        <f t="shared" si="1"/>
        <v>2526565.3494802918</v>
      </c>
      <c r="G26" s="69">
        <f t="shared" si="2"/>
        <v>5053130.6989605837</v>
      </c>
      <c r="H26" s="55">
        <v>26</v>
      </c>
      <c r="I26" s="69">
        <f t="shared" si="3"/>
        <v>5221675.3778875433</v>
      </c>
      <c r="J26" s="69">
        <f t="shared" si="4"/>
        <v>10106261.397921167</v>
      </c>
      <c r="K26" s="56">
        <v>56</v>
      </c>
      <c r="L26" s="69">
        <f t="shared" si="5"/>
        <v>10190660.704874506</v>
      </c>
      <c r="M26" s="69">
        <f t="shared" si="6"/>
        <v>84399.306953338906</v>
      </c>
    </row>
    <row r="27" spans="1:13">
      <c r="A27" s="55">
        <v>13</v>
      </c>
      <c r="B27" s="69">
        <v>214291</v>
      </c>
      <c r="C27" s="58">
        <v>0.14169999999999999</v>
      </c>
      <c r="E27" s="122">
        <f t="shared" si="0"/>
        <v>1.1104399500944329E-2</v>
      </c>
      <c r="F27" s="71">
        <f t="shared" si="1"/>
        <v>2395116.8317175442</v>
      </c>
      <c r="G27" s="69">
        <f t="shared" si="2"/>
        <v>4790233.6634350885</v>
      </c>
      <c r="H27" s="55">
        <v>26</v>
      </c>
      <c r="I27" s="69">
        <f t="shared" si="3"/>
        <v>4816370.0176928947</v>
      </c>
      <c r="J27" s="69">
        <f t="shared" si="4"/>
        <v>9580467.3268701769</v>
      </c>
      <c r="K27" s="56">
        <v>56</v>
      </c>
      <c r="L27" s="69">
        <f t="shared" si="5"/>
        <v>8900252.9255733509</v>
      </c>
      <c r="M27" s="69">
        <f t="shared" si="6"/>
        <v>-680214.40129682608</v>
      </c>
    </row>
    <row r="28" spans="1:13" hidden="1">
      <c r="A28" s="55">
        <v>14</v>
      </c>
      <c r="B28" s="69">
        <v>198859</v>
      </c>
      <c r="C28" s="58">
        <v>8.9300000000000004E-2</v>
      </c>
      <c r="E28" s="122">
        <f t="shared" si="0"/>
        <v>7.1534049112240705E-3</v>
      </c>
      <c r="F28" s="71">
        <f t="shared" si="1"/>
        <v>2278958.4010933158</v>
      </c>
      <c r="G28" s="69">
        <f t="shared" si="2"/>
        <v>4557916.8021866316</v>
      </c>
      <c r="H28" s="55">
        <v>26</v>
      </c>
      <c r="I28" s="69">
        <f t="shared" si="3"/>
        <v>4702708.613373463</v>
      </c>
      <c r="J28" s="69">
        <f t="shared" si="4"/>
        <v>9115833.6043732632</v>
      </c>
      <c r="K28" s="56">
        <v>56</v>
      </c>
      <c r="L28" s="69">
        <f t="shared" si="5"/>
        <v>9149269.8237610199</v>
      </c>
      <c r="M28" s="69">
        <f t="shared" si="6"/>
        <v>33436.219387756661</v>
      </c>
    </row>
    <row r="29" spans="1:13" hidden="1">
      <c r="A29" s="55">
        <v>15</v>
      </c>
      <c r="B29" s="69">
        <v>187989</v>
      </c>
      <c r="C29" s="58">
        <v>3.5999999999999997E-2</v>
      </c>
      <c r="E29" s="122">
        <f t="shared" si="0"/>
        <v>2.9516094330215292E-3</v>
      </c>
      <c r="F29" s="71">
        <f t="shared" si="1"/>
        <v>2213177.7396947537</v>
      </c>
      <c r="G29" s="69">
        <f t="shared" si="2"/>
        <v>4426355.4793895073</v>
      </c>
      <c r="H29" s="55">
        <v>26</v>
      </c>
      <c r="I29" s="69">
        <f t="shared" si="3"/>
        <v>4698207.0838469407</v>
      </c>
      <c r="J29" s="69">
        <f t="shared" si="4"/>
        <v>8852710.9587790146</v>
      </c>
      <c r="K29" s="56">
        <v>56</v>
      </c>
      <c r="L29" s="69">
        <f t="shared" si="5"/>
        <v>9690221.5843861327</v>
      </c>
      <c r="M29" s="69">
        <f t="shared" si="6"/>
        <v>837510.62560711801</v>
      </c>
    </row>
    <row r="30" spans="1:13" hidden="1">
      <c r="A30" s="55">
        <v>16</v>
      </c>
      <c r="B30" s="69">
        <v>169055</v>
      </c>
      <c r="C30" s="58">
        <v>3.2500000000000001E-2</v>
      </c>
      <c r="E30" s="122">
        <f t="shared" si="0"/>
        <v>2.668808767629649E-3</v>
      </c>
      <c r="F30" s="71">
        <f t="shared" si="1"/>
        <v>1993902.2571453108</v>
      </c>
      <c r="G30" s="69">
        <f t="shared" si="2"/>
        <v>3987804.5142906215</v>
      </c>
      <c r="H30" s="55">
        <v>26</v>
      </c>
      <c r="I30" s="69">
        <f t="shared" si="3"/>
        <v>4240936.9276815029</v>
      </c>
      <c r="J30" s="69">
        <f t="shared" si="4"/>
        <v>7975609.028581243</v>
      </c>
      <c r="K30" s="56">
        <v>56</v>
      </c>
      <c r="L30" s="69">
        <f t="shared" si="5"/>
        <v>8782740.7410716396</v>
      </c>
      <c r="M30" s="69">
        <f t="shared" si="6"/>
        <v>807131.71249039657</v>
      </c>
    </row>
    <row r="31" spans="1:13" hidden="1">
      <c r="A31" s="55">
        <v>17</v>
      </c>
      <c r="B31" s="69">
        <v>166869</v>
      </c>
      <c r="C31" s="58">
        <v>0.13669999999999999</v>
      </c>
      <c r="E31" s="122">
        <f t="shared" si="0"/>
        <v>1.0734651308872856E-2</v>
      </c>
      <c r="F31" s="71">
        <f t="shared" si="1"/>
        <v>1869435.028447818</v>
      </c>
      <c r="G31" s="69">
        <f t="shared" si="2"/>
        <v>3738870.056895636</v>
      </c>
      <c r="H31" s="55">
        <v>26</v>
      </c>
      <c r="I31" s="69">
        <f t="shared" si="3"/>
        <v>3768244.5205832743</v>
      </c>
      <c r="J31" s="69">
        <f t="shared" si="4"/>
        <v>7477740.113791272</v>
      </c>
      <c r="K31" s="56">
        <v>56</v>
      </c>
      <c r="L31" s="69">
        <f t="shared" si="5"/>
        <v>6996055.3446376277</v>
      </c>
      <c r="M31" s="69">
        <f t="shared" si="6"/>
        <v>-481684.76915364433</v>
      </c>
    </row>
    <row r="32" spans="1:13" hidden="1">
      <c r="A32" s="55">
        <v>18</v>
      </c>
      <c r="B32" s="69">
        <v>122532</v>
      </c>
      <c r="C32" s="58">
        <v>7.4499999999999997E-2</v>
      </c>
      <c r="E32" s="122">
        <f t="shared" si="0"/>
        <v>6.0059167200390284E-3</v>
      </c>
      <c r="F32" s="71">
        <f t="shared" si="1"/>
        <v>1414555.753004045</v>
      </c>
      <c r="G32" s="69">
        <f t="shared" si="2"/>
        <v>2829111.50600809</v>
      </c>
      <c r="H32" s="55">
        <v>24</v>
      </c>
      <c r="I32" s="69">
        <f t="shared" si="3"/>
        <v>2731033.8851622986</v>
      </c>
      <c r="J32" s="69">
        <f t="shared" si="4"/>
        <v>5658223.01201618</v>
      </c>
      <c r="K32" s="56">
        <v>55</v>
      </c>
      <c r="L32" s="69">
        <f t="shared" si="5"/>
        <v>5724763.0824960675</v>
      </c>
      <c r="M32" s="69">
        <f t="shared" si="6"/>
        <v>66540.070479887538</v>
      </c>
    </row>
    <row r="33" spans="1:13" hidden="1">
      <c r="A33" s="55">
        <v>19</v>
      </c>
      <c r="B33" s="69">
        <v>117096</v>
      </c>
      <c r="C33" s="58">
        <v>0.1091</v>
      </c>
      <c r="E33" s="122">
        <f t="shared" si="0"/>
        <v>8.6664107387064426E-3</v>
      </c>
      <c r="F33" s="71">
        <f t="shared" si="1"/>
        <v>1329097.486935745</v>
      </c>
      <c r="G33" s="69">
        <f t="shared" si="2"/>
        <v>2658194.97387149</v>
      </c>
      <c r="H33" s="55">
        <v>26</v>
      </c>
      <c r="I33" s="69">
        <f t="shared" si="3"/>
        <v>2715391.7091733897</v>
      </c>
      <c r="J33" s="69">
        <f t="shared" si="4"/>
        <v>5316389.94774298</v>
      </c>
      <c r="K33" s="56">
        <v>56</v>
      </c>
      <c r="L33" s="69">
        <f t="shared" si="5"/>
        <v>5177744.4932453251</v>
      </c>
      <c r="M33" s="69">
        <f t="shared" si="6"/>
        <v>-138645.45449765492</v>
      </c>
    </row>
    <row r="34" spans="1:13" hidden="1">
      <c r="A34" s="55">
        <v>20</v>
      </c>
      <c r="B34" s="69">
        <v>112554</v>
      </c>
      <c r="C34" s="58">
        <v>5.0900000000000001E-2</v>
      </c>
      <c r="E34" s="122">
        <f t="shared" si="0"/>
        <v>4.1458152037889828E-3</v>
      </c>
      <c r="F34" s="71">
        <f t="shared" si="1"/>
        <v>1314944.3828368401</v>
      </c>
      <c r="G34" s="69">
        <f t="shared" si="2"/>
        <v>2629888.7656736802</v>
      </c>
      <c r="H34" s="55">
        <v>26</v>
      </c>
      <c r="I34" s="69">
        <f t="shared" si="3"/>
        <v>2768769.289241266</v>
      </c>
      <c r="J34" s="69">
        <f t="shared" si="4"/>
        <v>5259777.5313473605</v>
      </c>
      <c r="K34" s="56">
        <v>56</v>
      </c>
      <c r="L34" s="69">
        <f t="shared" si="5"/>
        <v>5614502.1382233016</v>
      </c>
      <c r="M34" s="69">
        <f t="shared" si="6"/>
        <v>354724.60687594116</v>
      </c>
    </row>
    <row r="35" spans="1:13" hidden="1">
      <c r="A35" s="55">
        <v>21</v>
      </c>
      <c r="B35" s="69">
        <v>102775</v>
      </c>
      <c r="C35" s="58">
        <v>0.19600000000000001</v>
      </c>
      <c r="E35" s="122">
        <f t="shared" si="0"/>
        <v>1.5027008291617738E-2</v>
      </c>
      <c r="F35" s="71">
        <f t="shared" si="1"/>
        <v>1120830.2694491318</v>
      </c>
      <c r="G35" s="69">
        <f t="shared" si="2"/>
        <v>2241660.5388982636</v>
      </c>
      <c r="H35" s="55">
        <v>26</v>
      </c>
      <c r="I35" s="69">
        <f t="shared" si="3"/>
        <v>2198503.4204841792</v>
      </c>
      <c r="J35" s="69">
        <f t="shared" si="4"/>
        <v>4483321.0777965272</v>
      </c>
      <c r="K35" s="56">
        <v>56</v>
      </c>
      <c r="L35" s="69">
        <f t="shared" si="5"/>
        <v>3872680.5873269779</v>
      </c>
      <c r="M35" s="69">
        <f t="shared" si="6"/>
        <v>-610640.49046954932</v>
      </c>
    </row>
    <row r="36" spans="1:13" hidden="1">
      <c r="A36" s="55">
        <v>22</v>
      </c>
      <c r="B36" s="69">
        <v>101916</v>
      </c>
      <c r="C36" s="58">
        <v>0.186</v>
      </c>
      <c r="E36" s="122">
        <f t="shared" si="0"/>
        <v>1.4317046112151788E-2</v>
      </c>
      <c r="F36" s="71">
        <f t="shared" si="1"/>
        <v>1116393.2490282513</v>
      </c>
      <c r="G36" s="69">
        <f t="shared" si="2"/>
        <v>2232786.4980565025</v>
      </c>
      <c r="H36" s="55">
        <v>26</v>
      </c>
      <c r="I36" s="69">
        <f t="shared" si="3"/>
        <v>2199560.752010081</v>
      </c>
      <c r="J36" s="69">
        <f t="shared" si="4"/>
        <v>4465572.9961130051</v>
      </c>
      <c r="K36" s="56">
        <v>56</v>
      </c>
      <c r="L36" s="69">
        <f t="shared" si="5"/>
        <v>3907358.9351871372</v>
      </c>
      <c r="M36" s="69">
        <f t="shared" si="6"/>
        <v>-558214.06092586787</v>
      </c>
    </row>
    <row r="37" spans="1:13" hidden="1">
      <c r="A37" s="55">
        <v>23</v>
      </c>
      <c r="B37" s="69">
        <v>85807</v>
      </c>
      <c r="C37" s="58">
        <v>0.12859999999999999</v>
      </c>
      <c r="E37" s="122">
        <f t="shared" si="0"/>
        <v>1.0132483344771126E-2</v>
      </c>
      <c r="F37" s="71">
        <f t="shared" si="1"/>
        <v>964956.51458995312</v>
      </c>
      <c r="G37" s="69">
        <f t="shared" si="2"/>
        <v>1929913.0291799062</v>
      </c>
      <c r="H37" s="55">
        <v>26</v>
      </c>
      <c r="I37" s="69">
        <f t="shared" si="3"/>
        <v>1952671.7630894782</v>
      </c>
      <c r="J37" s="69">
        <f t="shared" si="4"/>
        <v>3859826.0583598125</v>
      </c>
      <c r="K37" s="56">
        <v>56</v>
      </c>
      <c r="L37" s="69">
        <f t="shared" si="5"/>
        <v>3653244.2109933062</v>
      </c>
      <c r="M37" s="69">
        <f t="shared" si="6"/>
        <v>-206581.84736650623</v>
      </c>
    </row>
    <row r="38" spans="1:13" hidden="1">
      <c r="A38" s="55">
        <v>24</v>
      </c>
      <c r="B38" s="69">
        <v>78706</v>
      </c>
      <c r="C38" s="58">
        <v>6.93E-2</v>
      </c>
      <c r="E38" s="122">
        <f t="shared" si="0"/>
        <v>5.5993035596983987E-3</v>
      </c>
      <c r="F38" s="71">
        <f t="shared" si="1"/>
        <v>910977.17598890851</v>
      </c>
      <c r="G38" s="69">
        <f t="shared" si="2"/>
        <v>1821954.351977817</v>
      </c>
      <c r="H38" s="55">
        <v>26</v>
      </c>
      <c r="I38" s="69">
        <f t="shared" si="3"/>
        <v>1899437.1536551691</v>
      </c>
      <c r="J38" s="69">
        <f t="shared" si="4"/>
        <v>3643908.703955634</v>
      </c>
      <c r="K38" s="56">
        <v>56</v>
      </c>
      <c r="L38" s="69">
        <f t="shared" si="5"/>
        <v>3774432.3957561892</v>
      </c>
      <c r="M38" s="69">
        <f t="shared" si="6"/>
        <v>130523.69180055521</v>
      </c>
    </row>
    <row r="39" spans="1:13" ht="16.5" hidden="1" thickBot="1">
      <c r="A39" s="64">
        <v>25</v>
      </c>
      <c r="B39" s="72">
        <v>70499</v>
      </c>
      <c r="C39" s="73">
        <v>0.14599999999999999</v>
      </c>
      <c r="D39" s="75"/>
      <c r="E39" s="123">
        <f t="shared" si="0"/>
        <v>1.1421197676646511E-2</v>
      </c>
      <c r="F39" s="76">
        <f t="shared" si="1"/>
        <v>786392.83263472014</v>
      </c>
      <c r="G39" s="72">
        <f t="shared" si="2"/>
        <v>1572785.6652694403</v>
      </c>
      <c r="H39" s="64">
        <v>26</v>
      </c>
      <c r="I39" s="72">
        <f t="shared" si="3"/>
        <v>1578148.1327446897</v>
      </c>
      <c r="J39" s="72">
        <f t="shared" si="4"/>
        <v>3145571.3305388805</v>
      </c>
      <c r="K39" s="124">
        <v>56</v>
      </c>
      <c r="L39" s="72">
        <f t="shared" si="5"/>
        <v>2904687.4132016366</v>
      </c>
      <c r="M39" s="72">
        <f t="shared" si="6"/>
        <v>-240883.91733724391</v>
      </c>
    </row>
    <row r="41" spans="1:13">
      <c r="C41" s="30"/>
    </row>
    <row r="42" spans="1:13">
      <c r="C42" s="91"/>
    </row>
    <row r="43" spans="1:13">
      <c r="C43" s="28"/>
    </row>
    <row r="44" spans="1:13">
      <c r="C44" s="29"/>
    </row>
    <row r="45" spans="1:13">
      <c r="C45" s="29"/>
    </row>
    <row r="46" spans="1:13">
      <c r="C46" s="30"/>
    </row>
  </sheetData>
  <sortState ref="B12:B36">
    <sortCondition descending="1" ref="B12"/>
  </sortState>
  <phoneticPr fontId="4" type="noConversion"/>
  <pageMargins left="0.75" right="0.75" top="1" bottom="1" header="0" footer="0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34"/>
  <sheetViews>
    <sheetView workbookViewId="0"/>
  </sheetViews>
  <sheetFormatPr baseColWidth="10" defaultRowHeight="15.75"/>
  <cols>
    <col min="1" max="1" width="7" style="4" customWidth="1"/>
    <col min="2" max="2" width="13.5703125" style="1" customWidth="1"/>
    <col min="3" max="3" width="13.28515625" style="1" customWidth="1"/>
    <col min="4" max="4" width="11.42578125" style="1"/>
    <col min="5" max="6" width="17.5703125" style="1" customWidth="1"/>
    <col min="7" max="7" width="13.140625" style="1" customWidth="1"/>
    <col min="8" max="8" width="9.42578125" style="1" customWidth="1"/>
    <col min="9" max="9" width="3" style="1" customWidth="1"/>
    <col min="10" max="10" width="11.42578125" style="1"/>
    <col min="11" max="11" width="12.85546875" style="1" customWidth="1"/>
    <col min="12" max="12" width="13.7109375" style="1" customWidth="1"/>
    <col min="13" max="16384" width="11.42578125" style="1"/>
  </cols>
  <sheetData>
    <row r="1" spans="1:3">
      <c r="B1" s="5" t="s">
        <v>6</v>
      </c>
    </row>
    <row r="2" spans="1:3">
      <c r="A2" s="4" t="s">
        <v>25</v>
      </c>
      <c r="B2" s="1" t="s">
        <v>106</v>
      </c>
    </row>
    <row r="3" spans="1:3">
      <c r="B3" s="1" t="s">
        <v>86</v>
      </c>
    </row>
    <row r="4" spans="1:3">
      <c r="B4" s="1" t="s">
        <v>87</v>
      </c>
    </row>
    <row r="5" spans="1:3">
      <c r="B5" s="1" t="s">
        <v>91</v>
      </c>
    </row>
    <row r="6" spans="1:3">
      <c r="B6" s="1" t="s">
        <v>92</v>
      </c>
    </row>
    <row r="7" spans="1:3">
      <c r="B7" s="1" t="s">
        <v>48</v>
      </c>
    </row>
    <row r="9" spans="1:3" ht="18" customHeight="1" thickBot="1">
      <c r="A9" s="8" t="s">
        <v>3</v>
      </c>
      <c r="B9" s="11" t="s">
        <v>0</v>
      </c>
      <c r="C9" s="12" t="s">
        <v>1</v>
      </c>
    </row>
    <row r="10" spans="1:3">
      <c r="A10" s="4">
        <v>1</v>
      </c>
      <c r="B10" s="3">
        <v>59035000</v>
      </c>
      <c r="C10" s="7">
        <v>0.1036</v>
      </c>
    </row>
    <row r="11" spans="1:3">
      <c r="A11" s="4">
        <v>2</v>
      </c>
      <c r="B11" s="3">
        <v>38722500</v>
      </c>
      <c r="C11" s="7">
        <v>0.10100000000000001</v>
      </c>
    </row>
    <row r="12" spans="1:3">
      <c r="A12" s="4">
        <v>3</v>
      </c>
      <c r="B12" s="3">
        <v>27227500</v>
      </c>
      <c r="C12" s="7">
        <v>0.1027</v>
      </c>
    </row>
    <row r="13" spans="1:3">
      <c r="A13" s="4">
        <v>4</v>
      </c>
      <c r="B13" s="3">
        <v>17572000</v>
      </c>
      <c r="C13" s="7">
        <v>0.1094</v>
      </c>
    </row>
    <row r="14" spans="1:3">
      <c r="A14" s="4">
        <v>5</v>
      </c>
      <c r="B14" s="3">
        <v>17522000</v>
      </c>
      <c r="C14" s="7">
        <v>0.10060000000000001</v>
      </c>
    </row>
    <row r="15" spans="1:3">
      <c r="A15" s="4">
        <v>6</v>
      </c>
      <c r="B15" s="3">
        <v>17472000</v>
      </c>
      <c r="C15" s="7">
        <v>0.10110000000000001</v>
      </c>
    </row>
    <row r="16" spans="1:3">
      <c r="A16" s="4">
        <v>7</v>
      </c>
      <c r="B16" s="3">
        <v>17422000</v>
      </c>
      <c r="C16" s="7">
        <v>0.10680000000000001</v>
      </c>
    </row>
    <row r="17" spans="1:4">
      <c r="A17" s="4">
        <v>8</v>
      </c>
      <c r="B17" s="3">
        <v>17372000</v>
      </c>
      <c r="C17" s="7">
        <v>0.10350000000000001</v>
      </c>
    </row>
    <row r="18" spans="1:4">
      <c r="A18" s="4">
        <v>9</v>
      </c>
      <c r="B18" s="3">
        <v>17322000</v>
      </c>
      <c r="C18" s="7">
        <v>0.1056</v>
      </c>
    </row>
    <row r="19" spans="1:4">
      <c r="A19" s="4">
        <v>10</v>
      </c>
      <c r="B19" s="3">
        <v>17272000</v>
      </c>
      <c r="C19" s="7">
        <v>0.10400000000000001</v>
      </c>
    </row>
    <row r="20" spans="1:4">
      <c r="A20" s="4">
        <v>11</v>
      </c>
      <c r="B20" s="3">
        <v>17222000</v>
      </c>
      <c r="C20" s="7">
        <v>0.1061</v>
      </c>
    </row>
    <row r="21" spans="1:4">
      <c r="A21" s="4">
        <v>12</v>
      </c>
      <c r="B21" s="3">
        <v>17172000</v>
      </c>
      <c r="C21" s="7">
        <v>0.10250000000000001</v>
      </c>
    </row>
    <row r="22" spans="1:4">
      <c r="A22" s="4">
        <v>13</v>
      </c>
      <c r="B22" s="3">
        <v>17122000</v>
      </c>
      <c r="C22" s="7">
        <v>0.16470000000000001</v>
      </c>
      <c r="D22" s="3"/>
    </row>
    <row r="23" spans="1:4">
      <c r="A23" s="4">
        <v>14</v>
      </c>
      <c r="B23" s="3">
        <v>17072000</v>
      </c>
      <c r="C23" s="7">
        <v>0.14050000000000001</v>
      </c>
      <c r="D23" s="3"/>
    </row>
    <row r="24" spans="1:4">
      <c r="A24" s="4">
        <v>15</v>
      </c>
      <c r="B24" s="3">
        <v>17022000</v>
      </c>
      <c r="C24" s="7">
        <v>4.4299999999999999E-2</v>
      </c>
      <c r="D24" s="3"/>
    </row>
    <row r="25" spans="1:4">
      <c r="A25" s="4">
        <v>16</v>
      </c>
      <c r="B25" s="3">
        <v>28835000</v>
      </c>
      <c r="C25" s="7">
        <v>0.14810000000000001</v>
      </c>
      <c r="D25" s="3"/>
    </row>
    <row r="26" spans="1:4">
      <c r="A26" s="4">
        <v>17</v>
      </c>
      <c r="B26" s="3">
        <v>34982500</v>
      </c>
      <c r="C26" s="7">
        <v>0.1633</v>
      </c>
      <c r="D26" s="3"/>
    </row>
    <row r="27" spans="1:4">
      <c r="A27" s="4">
        <v>18</v>
      </c>
      <c r="B27" s="3">
        <v>38887500</v>
      </c>
      <c r="C27" s="7">
        <v>5.74E-2</v>
      </c>
      <c r="D27" s="3"/>
    </row>
    <row r="28" spans="1:4">
      <c r="A28" s="4">
        <v>19</v>
      </c>
      <c r="B28" s="3">
        <v>39032500</v>
      </c>
      <c r="C28" s="7">
        <v>3.8800000000000001E-2</v>
      </c>
      <c r="D28" s="3"/>
    </row>
    <row r="29" spans="1:4">
      <c r="A29" s="4">
        <v>20</v>
      </c>
      <c r="B29" s="3">
        <v>39850000</v>
      </c>
      <c r="C29" s="7">
        <v>3.7000000000000002E-3</v>
      </c>
      <c r="D29" s="3"/>
    </row>
    <row r="30" spans="1:4">
      <c r="A30" s="4">
        <v>21</v>
      </c>
      <c r="B30" s="3">
        <v>44370000</v>
      </c>
      <c r="C30" s="7">
        <v>6.9099999999999995E-2</v>
      </c>
      <c r="D30" s="3"/>
    </row>
    <row r="31" spans="1:4">
      <c r="A31" s="4">
        <v>22</v>
      </c>
      <c r="B31" s="3">
        <v>44515000</v>
      </c>
      <c r="C31" s="7">
        <v>0.18390000000000001</v>
      </c>
      <c r="D31" s="3"/>
    </row>
    <row r="32" spans="1:4">
      <c r="A32" s="4">
        <v>23</v>
      </c>
      <c r="B32" s="3">
        <v>46220000</v>
      </c>
      <c r="C32" s="7">
        <v>0.14030000000000001</v>
      </c>
      <c r="D32" s="3"/>
    </row>
    <row r="33" spans="1:4">
      <c r="A33" s="4">
        <v>24</v>
      </c>
      <c r="B33" s="3">
        <v>49690000</v>
      </c>
      <c r="C33" s="7">
        <v>7.6100000000000001E-2</v>
      </c>
      <c r="D33" s="3"/>
    </row>
    <row r="34" spans="1:4" ht="16.5" thickBot="1">
      <c r="A34" s="8">
        <v>25</v>
      </c>
      <c r="B34" s="9">
        <v>64725000</v>
      </c>
      <c r="C34" s="10">
        <v>0.1038</v>
      </c>
      <c r="D34" s="3"/>
    </row>
  </sheetData>
  <sortState ref="B25:B34">
    <sortCondition ref="B25"/>
  </sortState>
  <phoneticPr fontId="4" type="noConversion"/>
  <pageMargins left="0.35" right="0.34" top="0.16" bottom="0.15" header="0" footer="0"/>
  <pageSetup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2"/>
  <sheetViews>
    <sheetView workbookViewId="0"/>
  </sheetViews>
  <sheetFormatPr baseColWidth="10" defaultRowHeight="15.75"/>
  <cols>
    <col min="1" max="1" width="7" style="4" customWidth="1"/>
    <col min="2" max="2" width="12.42578125" style="1" customWidth="1"/>
    <col min="3" max="3" width="14.85546875" style="1" customWidth="1"/>
    <col min="4" max="4" width="9.140625" style="1" customWidth="1"/>
    <col min="5" max="5" width="13.42578125" style="1" customWidth="1"/>
    <col min="6" max="16384" width="11.42578125" style="1"/>
  </cols>
  <sheetData>
    <row r="1" spans="1:6">
      <c r="B1" s="5" t="s">
        <v>6</v>
      </c>
    </row>
    <row r="2" spans="1:6">
      <c r="A2" s="4" t="s">
        <v>26</v>
      </c>
      <c r="B2" s="1" t="s">
        <v>28</v>
      </c>
    </row>
    <row r="3" spans="1:6">
      <c r="B3" s="1" t="s">
        <v>27</v>
      </c>
    </row>
    <row r="4" spans="1:6">
      <c r="B4" s="1" t="s">
        <v>48</v>
      </c>
    </row>
    <row r="6" spans="1:6" ht="16.5" thickBot="1">
      <c r="A6" s="8" t="s">
        <v>3</v>
      </c>
      <c r="B6" s="8" t="s">
        <v>15</v>
      </c>
      <c r="C6" s="8" t="s">
        <v>0</v>
      </c>
      <c r="D6" s="2"/>
      <c r="E6" s="2"/>
      <c r="F6" s="2"/>
    </row>
    <row r="7" spans="1:6">
      <c r="A7" s="4">
        <v>1</v>
      </c>
      <c r="B7" s="3">
        <v>1110000</v>
      </c>
      <c r="C7" s="3">
        <v>24520958</v>
      </c>
      <c r="D7" s="6"/>
      <c r="E7" s="3"/>
    </row>
    <row r="8" spans="1:6">
      <c r="A8" s="4">
        <v>2</v>
      </c>
      <c r="B8" s="3">
        <v>1120000</v>
      </c>
      <c r="C8" s="3">
        <v>24157322</v>
      </c>
      <c r="D8" s="6"/>
      <c r="E8" s="3"/>
    </row>
    <row r="9" spans="1:6">
      <c r="A9" s="4">
        <v>3</v>
      </c>
      <c r="B9" s="3">
        <v>1130000</v>
      </c>
      <c r="C9" s="3">
        <v>23809496</v>
      </c>
      <c r="D9" s="6"/>
      <c r="E9" s="3"/>
    </row>
    <row r="10" spans="1:6">
      <c r="A10" s="4">
        <v>4</v>
      </c>
      <c r="B10" s="3">
        <v>1140000</v>
      </c>
      <c r="C10" s="3">
        <v>23476471</v>
      </c>
      <c r="D10" s="6"/>
      <c r="E10" s="3"/>
    </row>
    <row r="11" spans="1:6">
      <c r="A11" s="4">
        <v>5</v>
      </c>
      <c r="B11" s="3">
        <v>1150000</v>
      </c>
      <c r="C11" s="3">
        <v>23157322</v>
      </c>
      <c r="D11" s="6"/>
      <c r="E11" s="3"/>
    </row>
    <row r="12" spans="1:6">
      <c r="A12" s="4">
        <v>6</v>
      </c>
      <c r="B12" s="3">
        <v>1160000</v>
      </c>
      <c r="C12" s="3">
        <v>22851200</v>
      </c>
      <c r="D12" s="6"/>
      <c r="E12" s="3"/>
    </row>
    <row r="13" spans="1:6">
      <c r="A13" s="4">
        <v>7</v>
      </c>
      <c r="B13" s="3">
        <v>1170000</v>
      </c>
      <c r="C13" s="3">
        <v>22557322</v>
      </c>
      <c r="D13" s="6"/>
      <c r="E13" s="3"/>
    </row>
    <row r="14" spans="1:6">
      <c r="A14" s="4">
        <v>8</v>
      </c>
      <c r="B14" s="3">
        <v>1180000</v>
      </c>
      <c r="C14" s="3">
        <v>22274969</v>
      </c>
      <c r="D14" s="6"/>
      <c r="E14" s="3"/>
    </row>
    <row r="15" spans="1:6">
      <c r="A15" s="4">
        <v>9</v>
      </c>
      <c r="B15" s="3">
        <v>1190000</v>
      </c>
      <c r="C15" s="3">
        <v>22003476</v>
      </c>
      <c r="D15" s="6"/>
      <c r="E15" s="3"/>
    </row>
    <row r="16" spans="1:6">
      <c r="A16" s="4">
        <v>10</v>
      </c>
      <c r="B16" s="3">
        <v>1200000</v>
      </c>
      <c r="C16" s="3">
        <v>21742228</v>
      </c>
      <c r="D16" s="6"/>
      <c r="E16" s="3"/>
    </row>
    <row r="17" spans="1:5">
      <c r="A17" s="4">
        <v>11</v>
      </c>
      <c r="B17" s="3">
        <v>1210000</v>
      </c>
      <c r="C17" s="3">
        <v>21490655</v>
      </c>
      <c r="D17" s="6"/>
      <c r="E17" s="3"/>
    </row>
    <row r="18" spans="1:5">
      <c r="A18" s="4">
        <v>12</v>
      </c>
      <c r="B18" s="3">
        <v>1220000</v>
      </c>
      <c r="C18" s="3">
        <v>21248231</v>
      </c>
      <c r="D18" s="6"/>
      <c r="E18" s="3"/>
    </row>
    <row r="19" spans="1:5">
      <c r="A19" s="4">
        <v>13</v>
      </c>
      <c r="B19" s="3">
        <v>1230000</v>
      </c>
      <c r="C19" s="3">
        <v>21014465</v>
      </c>
      <c r="D19" s="6"/>
      <c r="E19" s="3"/>
    </row>
    <row r="20" spans="1:5">
      <c r="A20" s="4">
        <v>14</v>
      </c>
      <c r="B20" s="3">
        <v>1240000</v>
      </c>
      <c r="C20" s="3">
        <v>20788901</v>
      </c>
      <c r="D20" s="6"/>
      <c r="E20" s="3"/>
    </row>
    <row r="21" spans="1:5">
      <c r="A21" s="4">
        <v>15</v>
      </c>
      <c r="B21" s="3">
        <v>1250000</v>
      </c>
      <c r="C21" s="3">
        <v>20571115</v>
      </c>
      <c r="D21" s="6"/>
      <c r="E21" s="3"/>
    </row>
    <row r="22" spans="1:5">
      <c r="A22" s="4">
        <v>16</v>
      </c>
      <c r="B22" s="3">
        <v>1260000</v>
      </c>
      <c r="C22" s="3">
        <v>20360712</v>
      </c>
      <c r="D22" s="6"/>
      <c r="E22" s="3"/>
    </row>
    <row r="23" spans="1:5">
      <c r="A23" s="4">
        <v>17</v>
      </c>
      <c r="B23" s="3">
        <v>1270000</v>
      </c>
      <c r="C23" s="3">
        <v>20157322</v>
      </c>
      <c r="D23" s="6"/>
      <c r="E23" s="3"/>
    </row>
    <row r="24" spans="1:5">
      <c r="A24" s="4">
        <v>18</v>
      </c>
      <c r="B24" s="3">
        <v>1280000</v>
      </c>
      <c r="C24" s="3">
        <v>19960601</v>
      </c>
      <c r="D24" s="6"/>
      <c r="E24" s="3"/>
    </row>
    <row r="25" spans="1:5">
      <c r="A25" s="4">
        <v>19</v>
      </c>
      <c r="B25" s="3">
        <v>1290000</v>
      </c>
      <c r="C25" s="3">
        <v>19770225</v>
      </c>
      <c r="D25" s="6"/>
      <c r="E25" s="3"/>
    </row>
    <row r="26" spans="1:5">
      <c r="A26" s="4">
        <v>20</v>
      </c>
      <c r="B26" s="3">
        <v>1300000</v>
      </c>
      <c r="C26" s="3">
        <v>19585893</v>
      </c>
      <c r="D26" s="6"/>
      <c r="E26" s="3"/>
    </row>
    <row r="27" spans="1:5">
      <c r="A27" s="4">
        <v>21</v>
      </c>
      <c r="B27" s="3">
        <v>1310000</v>
      </c>
      <c r="C27" s="3">
        <v>19407322</v>
      </c>
      <c r="D27" s="6"/>
      <c r="E27" s="3"/>
    </row>
    <row r="28" spans="1:5">
      <c r="A28" s="4">
        <v>22</v>
      </c>
      <c r="B28" s="3">
        <v>1320000</v>
      </c>
      <c r="C28" s="3">
        <v>19234245</v>
      </c>
      <c r="E28" s="3"/>
    </row>
    <row r="29" spans="1:5">
      <c r="A29" s="4">
        <v>23</v>
      </c>
      <c r="B29" s="3">
        <v>1330000</v>
      </c>
      <c r="C29" s="3">
        <v>19066413</v>
      </c>
      <c r="E29" s="3"/>
    </row>
    <row r="30" spans="1:5">
      <c r="A30" s="4">
        <v>24</v>
      </c>
      <c r="B30" s="3">
        <v>1340000</v>
      </c>
      <c r="C30" s="3">
        <v>18903591</v>
      </c>
      <c r="E30" s="3"/>
    </row>
    <row r="31" spans="1:5" ht="16.5" thickBot="1">
      <c r="A31" s="8">
        <v>25</v>
      </c>
      <c r="B31" s="9">
        <v>1350000</v>
      </c>
      <c r="C31" s="9">
        <v>18745557</v>
      </c>
      <c r="E31" s="15"/>
    </row>
    <row r="32" spans="1:5">
      <c r="E32" s="14"/>
    </row>
  </sheetData>
  <phoneticPr fontId="4" type="noConversion"/>
  <pageMargins left="0.36" right="0.37" top="0.19" bottom="0.15" header="0" footer="0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SOLUCIONES</vt:lpstr>
      <vt:lpstr>P 01</vt:lpstr>
      <vt:lpstr>P 02</vt:lpstr>
      <vt:lpstr>P 03</vt:lpstr>
      <vt:lpstr>P 04</vt:lpstr>
      <vt:lpstr>P 05</vt:lpstr>
      <vt:lpstr>P 06</vt:lpstr>
      <vt:lpstr>P 07</vt:lpstr>
      <vt:lpstr>P 08</vt:lpstr>
      <vt:lpstr>P 09</vt:lpstr>
      <vt:lpstr>P 10</vt:lpstr>
      <vt:lpstr>P 11</vt:lpstr>
      <vt:lpstr>P 12</vt:lpstr>
    </vt:vector>
  </TitlesOfParts>
  <Company>Particular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 Videla</dc:creator>
  <cp:lastModifiedBy>CRISTOBAL VIDELA-HINTZE</cp:lastModifiedBy>
  <cp:lastPrinted>2010-03-25T05:12:36Z</cp:lastPrinted>
  <dcterms:created xsi:type="dcterms:W3CDTF">2010-03-20T15:48:34Z</dcterms:created>
  <dcterms:modified xsi:type="dcterms:W3CDTF">2014-09-03T02:20:20Z</dcterms:modified>
</cp:coreProperties>
</file>