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Default Extension="jpeg" ContentType="image/jpeg"/>
  <Default Extension="wmf" ContentType="image/x-wmf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1235" windowHeight="8055" tabRatio="397" activeTab="1"/>
  </bookViews>
  <sheets>
    <sheet name="Metodo Area Tributaria" sheetId="2" r:id="rId1"/>
    <sheet name="Resistencia Pilares Metodos" sheetId="3" r:id="rId2"/>
    <sheet name="Hoja1" sheetId="1" r:id="rId3"/>
  </sheets>
  <definedNames>
    <definedName name="solver_adj" localSheetId="1" hidden="1">'Resistencia Pilares Metodos'!$C$102</definedName>
    <definedName name="solver_cvg" localSheetId="1" hidden="1">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0" localSheetId="1" hidden="1">'Resistencia Pilares Metodos'!#REF!</definedName>
    <definedName name="solver_lhs1" localSheetId="1" hidden="1">'Resistencia Pilares Metodos'!$J$102</definedName>
    <definedName name="solver_lhs2" localSheetId="1" hidden="1">'Resistencia Pilares Metodos'!$J$102</definedName>
    <definedName name="solver_lhs3" localSheetId="1" hidden="1">'Resistencia Pilares Metodos'!$J$102</definedName>
    <definedName name="solver_lhs4" localSheetId="1" hidden="1">'Resistencia Pilares Metodos'!$J$102</definedName>
    <definedName name="solver_lin" localSheetId="1" hidden="1">2</definedName>
    <definedName name="solver_neg" localSheetId="1" hidden="1">2</definedName>
    <definedName name="solver_num" localSheetId="1" hidden="1">1</definedName>
    <definedName name="solver_nwt" localSheetId="1" hidden="1">1</definedName>
    <definedName name="solver_opt" localSheetId="1" hidden="1">'Resistencia Pilares Metodos'!$K$102</definedName>
    <definedName name="solver_pre" localSheetId="1" hidden="1">1</definedName>
    <definedName name="solver_rel0" localSheetId="1" hidden="1">1</definedName>
    <definedName name="solver_rel1" localSheetId="1" hidden="1">1</definedName>
    <definedName name="solver_rel2" localSheetId="1" hidden="1">1</definedName>
    <definedName name="solver_rel3" localSheetId="1" hidden="1">1</definedName>
    <definedName name="solver_rel4" localSheetId="1" hidden="1">1</definedName>
    <definedName name="solver_rhs0" localSheetId="1" hidden="1">1.6</definedName>
    <definedName name="solver_rhs1" localSheetId="1" hidden="1">1.6</definedName>
    <definedName name="solver_rhs2" localSheetId="1" hidden="1">1.6</definedName>
    <definedName name="solver_rhs3" localSheetId="1" hidden="1">1.6</definedName>
    <definedName name="solver_rhs4" localSheetId="1" hidden="1">1.6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5</definedName>
    <definedName name="solver_typ" localSheetId="1" hidden="1">1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G106" i="3"/>
  <c r="G103"/>
  <c r="J106"/>
  <c r="J103"/>
  <c r="J102"/>
  <c r="F76"/>
  <c r="B46"/>
  <c r="B51" l="1"/>
  <c r="C55" s="1"/>
  <c r="D76"/>
  <c r="C76"/>
  <c r="D68"/>
  <c r="D69" s="1"/>
  <c r="C57"/>
  <c r="C58" s="1"/>
  <c r="B47"/>
  <c r="B49"/>
  <c r="B45"/>
  <c r="D49" s="1"/>
  <c r="C103"/>
  <c r="C77" s="1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E102"/>
  <c r="F102" s="1"/>
  <c r="G102" s="1"/>
  <c r="H102" s="1"/>
  <c r="K102"/>
  <c r="B37"/>
  <c r="B38" s="1"/>
  <c r="B39"/>
  <c r="E20" i="1"/>
  <c r="D20"/>
  <c r="B3" i="2"/>
  <c r="A4"/>
  <c r="B4" s="1"/>
  <c r="H20" i="1"/>
  <c r="B21"/>
  <c r="H21" s="1"/>
  <c r="B13"/>
  <c r="B16"/>
  <c r="B17" s="1"/>
  <c r="B10"/>
  <c r="C10" s="1"/>
  <c r="F20" s="1"/>
  <c r="B5"/>
  <c r="C5" s="1"/>
  <c r="C6" s="1"/>
  <c r="B4"/>
  <c r="B14" l="1"/>
  <c r="I102" i="3"/>
  <c r="G76"/>
  <c r="F77"/>
  <c r="G77" s="1"/>
  <c r="B50"/>
  <c r="C54" s="1"/>
  <c r="C59" s="1"/>
  <c r="C60" s="1"/>
  <c r="E103"/>
  <c r="K103"/>
  <c r="C104"/>
  <c r="C105" s="1"/>
  <c r="G20" i="1"/>
  <c r="C14"/>
  <c r="B22"/>
  <c r="E21"/>
  <c r="F21" s="1"/>
  <c r="D21"/>
  <c r="A5" i="2"/>
  <c r="K104" i="3"/>
  <c r="F103" l="1"/>
  <c r="H103" s="1"/>
  <c r="C78"/>
  <c r="E104"/>
  <c r="E105"/>
  <c r="C79"/>
  <c r="C106"/>
  <c r="K105"/>
  <c r="B5" i="2"/>
  <c r="A6"/>
  <c r="D22" i="1"/>
  <c r="H22"/>
  <c r="E22"/>
  <c r="F22" s="1"/>
  <c r="B23"/>
  <c r="G21"/>
  <c r="F104" i="3" l="1"/>
  <c r="G104" s="1"/>
  <c r="H104" s="1"/>
  <c r="I104" s="1"/>
  <c r="I103"/>
  <c r="F78"/>
  <c r="G78" s="1"/>
  <c r="H23" i="1"/>
  <c r="E23"/>
  <c r="F23" s="1"/>
  <c r="B24"/>
  <c r="D23"/>
  <c r="G23" s="1"/>
  <c r="B6" i="2"/>
  <c r="A7"/>
  <c r="F79" i="3"/>
  <c r="G79" s="1"/>
  <c r="C80"/>
  <c r="C107"/>
  <c r="K106"/>
  <c r="E106"/>
  <c r="F105"/>
  <c r="G105" s="1"/>
  <c r="H105" s="1"/>
  <c r="G22" i="1"/>
  <c r="J104" i="3" l="1"/>
  <c r="I105"/>
  <c r="J105"/>
  <c r="F106"/>
  <c r="H106" s="1"/>
  <c r="F80"/>
  <c r="G80" s="1"/>
  <c r="D24" i="1"/>
  <c r="H24"/>
  <c r="E24"/>
  <c r="F24" s="1"/>
  <c r="B25"/>
  <c r="E107" i="3"/>
  <c r="C81"/>
  <c r="C108"/>
  <c r="K107"/>
  <c r="B7" i="2"/>
  <c r="A8"/>
  <c r="F81" i="3" l="1"/>
  <c r="G81" s="1"/>
  <c r="C82"/>
  <c r="C109"/>
  <c r="K108"/>
  <c r="E108"/>
  <c r="F107"/>
  <c r="G107" s="1"/>
  <c r="H107" s="1"/>
  <c r="G24" i="1"/>
  <c r="B8" i="2"/>
  <c r="A9"/>
  <c r="H25" i="1"/>
  <c r="E25"/>
  <c r="F25" s="1"/>
  <c r="B26"/>
  <c r="D25"/>
  <c r="G25" s="1"/>
  <c r="I106" i="3"/>
  <c r="D26" i="1" l="1"/>
  <c r="H26"/>
  <c r="E26"/>
  <c r="F26" s="1"/>
  <c r="B27"/>
  <c r="I107" i="3"/>
  <c r="J107"/>
  <c r="F108"/>
  <c r="G108" s="1"/>
  <c r="H108" s="1"/>
  <c r="F82"/>
  <c r="G82" s="1"/>
  <c r="B9" i="2"/>
  <c r="A10"/>
  <c r="B10" s="1"/>
  <c r="E109" i="3"/>
  <c r="C83"/>
  <c r="C110"/>
  <c r="K109"/>
  <c r="C84" l="1"/>
  <c r="C111"/>
  <c r="K110"/>
  <c r="E110"/>
  <c r="F109"/>
  <c r="G109" s="1"/>
  <c r="H109" s="1"/>
  <c r="G26" i="1"/>
  <c r="F83" i="3"/>
  <c r="G83" s="1"/>
  <c r="I108"/>
  <c r="J108"/>
  <c r="H27" i="1"/>
  <c r="E27"/>
  <c r="F27" s="1"/>
  <c r="B28"/>
  <c r="D27"/>
  <c r="G27" s="1"/>
  <c r="I109" i="3" l="1"/>
  <c r="J109"/>
  <c r="F110"/>
  <c r="G110" s="1"/>
  <c r="H110" s="1"/>
  <c r="F84"/>
  <c r="G84" s="1"/>
  <c r="D28" i="1"/>
  <c r="H28"/>
  <c r="E28"/>
  <c r="F28" s="1"/>
  <c r="B29"/>
  <c r="E111" i="3"/>
  <c r="C85"/>
  <c r="C112"/>
  <c r="K111"/>
  <c r="C86" l="1"/>
  <c r="C113"/>
  <c r="K112"/>
  <c r="E112"/>
  <c r="F111"/>
  <c r="G111" s="1"/>
  <c r="H111" s="1"/>
  <c r="H29" i="1"/>
  <c r="E29"/>
  <c r="F29" s="1"/>
  <c r="B30"/>
  <c r="D29"/>
  <c r="G29" s="1"/>
  <c r="F85" i="3"/>
  <c r="G85" s="1"/>
  <c r="I110"/>
  <c r="J110"/>
  <c r="G28" i="1"/>
  <c r="I111" i="3" l="1"/>
  <c r="J111"/>
  <c r="F112"/>
  <c r="G112" s="1"/>
  <c r="H112" s="1"/>
  <c r="F86"/>
  <c r="G86" s="1"/>
  <c r="D30" i="1"/>
  <c r="H30"/>
  <c r="E30"/>
  <c r="F30" s="1"/>
  <c r="B31"/>
  <c r="E113" i="3"/>
  <c r="C87"/>
  <c r="C114"/>
  <c r="K113"/>
  <c r="F87" l="1"/>
  <c r="G87" s="1"/>
  <c r="C88"/>
  <c r="C115"/>
  <c r="K114"/>
  <c r="E114"/>
  <c r="F113"/>
  <c r="G113" s="1"/>
  <c r="H113" s="1"/>
  <c r="H31" i="1"/>
  <c r="E31"/>
  <c r="F31" s="1"/>
  <c r="B32"/>
  <c r="D31"/>
  <c r="G31" s="1"/>
  <c r="I112" i="3"/>
  <c r="J112"/>
  <c r="G30" i="1"/>
  <c r="I113" i="3" l="1"/>
  <c r="J113"/>
  <c r="F114"/>
  <c r="G114" s="1"/>
  <c r="H114" s="1"/>
  <c r="F88"/>
  <c r="G88" s="1"/>
  <c r="D32" i="1"/>
  <c r="H32"/>
  <c r="E32"/>
  <c r="F32" s="1"/>
  <c r="B33"/>
  <c r="E115" i="3"/>
  <c r="C89"/>
  <c r="C116"/>
  <c r="K115"/>
  <c r="F89" l="1"/>
  <c r="G89" s="1"/>
  <c r="G32" i="1"/>
  <c r="C90" i="3"/>
  <c r="C117"/>
  <c r="K116"/>
  <c r="E116"/>
  <c r="F115"/>
  <c r="G115" s="1"/>
  <c r="H115" s="1"/>
  <c r="H33" i="1"/>
  <c r="E33"/>
  <c r="F33" s="1"/>
  <c r="D33"/>
  <c r="B34"/>
  <c r="I114" i="3"/>
  <c r="J114"/>
  <c r="G33" i="1" l="1"/>
  <c r="E117" i="3"/>
  <c r="C91"/>
  <c r="C118"/>
  <c r="K117"/>
  <c r="D34" i="1"/>
  <c r="E34"/>
  <c r="F34" s="1"/>
  <c r="B35"/>
  <c r="H34"/>
  <c r="I115" i="3"/>
  <c r="J115"/>
  <c r="F116"/>
  <c r="G116" s="1"/>
  <c r="H116" s="1"/>
  <c r="F90"/>
  <c r="G90" s="1"/>
  <c r="G34" i="1" l="1"/>
  <c r="H35"/>
  <c r="B36"/>
  <c r="D35"/>
  <c r="G35" s="1"/>
  <c r="E35"/>
  <c r="F35" s="1"/>
  <c r="F91" i="3"/>
  <c r="G91" s="1"/>
  <c r="I116"/>
  <c r="J116"/>
  <c r="C92"/>
  <c r="C119"/>
  <c r="K118"/>
  <c r="E118"/>
  <c r="F117"/>
  <c r="G117" s="1"/>
  <c r="H117" s="1"/>
  <c r="E119" l="1"/>
  <c r="C93"/>
  <c r="C120"/>
  <c r="K119"/>
  <c r="I117"/>
  <c r="J117"/>
  <c r="F118"/>
  <c r="G118" s="1"/>
  <c r="H118" s="1"/>
  <c r="F92"/>
  <c r="G92" s="1"/>
  <c r="B37" i="1"/>
  <c r="H36"/>
  <c r="D36"/>
  <c r="E36"/>
  <c r="F36" s="1"/>
  <c r="I118" i="3" l="1"/>
  <c r="J118"/>
  <c r="F93"/>
  <c r="G93" s="1"/>
  <c r="H37" i="1"/>
  <c r="E37"/>
  <c r="F37" s="1"/>
  <c r="D37"/>
  <c r="B38"/>
  <c r="C94" i="3"/>
  <c r="C121"/>
  <c r="K120"/>
  <c r="E120"/>
  <c r="F119"/>
  <c r="G119" s="1"/>
  <c r="H119" s="1"/>
  <c r="G36" i="1"/>
  <c r="E121" i="3" l="1"/>
  <c r="C95"/>
  <c r="K121"/>
  <c r="D38" i="1"/>
  <c r="B39"/>
  <c r="H38"/>
  <c r="E38"/>
  <c r="F38" s="1"/>
  <c r="I119" i="3"/>
  <c r="J119"/>
  <c r="F120"/>
  <c r="G120" s="1"/>
  <c r="H120" s="1"/>
  <c r="F94"/>
  <c r="G94" s="1"/>
  <c r="G37" i="1"/>
  <c r="G38" l="1"/>
  <c r="F95" i="3"/>
  <c r="G95" s="1"/>
  <c r="I120"/>
  <c r="J120"/>
  <c r="H39" i="1"/>
  <c r="E39"/>
  <c r="F39" s="1"/>
  <c r="D39"/>
  <c r="G39" s="1"/>
  <c r="B40"/>
  <c r="F121" i="3"/>
  <c r="G121" s="1"/>
  <c r="H121" s="1"/>
  <c r="I121" l="1"/>
  <c r="J121"/>
  <c r="D40" i="1"/>
  <c r="B41"/>
  <c r="H40"/>
  <c r="E40"/>
  <c r="F40" s="1"/>
  <c r="H41" l="1"/>
  <c r="E41"/>
  <c r="F41" s="1"/>
  <c r="D41"/>
  <c r="G41" s="1"/>
  <c r="G40"/>
</calcChain>
</file>

<file path=xl/sharedStrings.xml><?xml version="1.0" encoding="utf-8"?>
<sst xmlns="http://schemas.openxmlformats.org/spreadsheetml/2006/main" count="94" uniqueCount="66">
  <si>
    <t>Wp</t>
  </si>
  <si>
    <t>Wo</t>
  </si>
  <si>
    <t>H</t>
  </si>
  <si>
    <t>Si</t>
  </si>
  <si>
    <t>Mpa</t>
  </si>
  <si>
    <t>Sinducido</t>
  </si>
  <si>
    <t>radio</t>
  </si>
  <si>
    <t>r</t>
  </si>
  <si>
    <t>sp/sz</t>
  </si>
  <si>
    <t xml:space="preserve">Resistencia tracción </t>
  </si>
  <si>
    <t>Gpa</t>
  </si>
  <si>
    <t>densidad</t>
  </si>
  <si>
    <t>peso especifico</t>
  </si>
  <si>
    <t>KN/m3</t>
  </si>
  <si>
    <t>m</t>
  </si>
  <si>
    <t>Mpa/m</t>
  </si>
  <si>
    <t>Peso especifico</t>
  </si>
  <si>
    <t>deformación maxima</t>
  </si>
  <si>
    <t>Resistencia pilar</t>
  </si>
  <si>
    <t>UCS</t>
  </si>
  <si>
    <t>Ws</t>
  </si>
  <si>
    <t>Hs</t>
  </si>
  <si>
    <t>mm</t>
  </si>
  <si>
    <t>Volumen</t>
  </si>
  <si>
    <t>mm3</t>
  </si>
  <si>
    <t>m3</t>
  </si>
  <si>
    <t>Volumen probeta</t>
  </si>
  <si>
    <t>Ws/Hs</t>
  </si>
  <si>
    <t>Hp</t>
  </si>
  <si>
    <t>Esfuerzo inducido</t>
  </si>
  <si>
    <t>Configuraciones Pilares cuadrados</t>
  </si>
  <si>
    <t>gamma</t>
  </si>
  <si>
    <t>Recuperación</t>
  </si>
  <si>
    <t>Cpav</t>
  </si>
  <si>
    <t>k</t>
  </si>
  <si>
    <t>Modulo de Young (techo)</t>
  </si>
  <si>
    <t>adim</t>
  </si>
  <si>
    <t>%</t>
  </si>
  <si>
    <t>GSI</t>
  </si>
  <si>
    <t>mi</t>
  </si>
  <si>
    <t>D</t>
  </si>
  <si>
    <t>2. Parámetros del macizo rocoso</t>
  </si>
  <si>
    <t>mb</t>
  </si>
  <si>
    <t>s</t>
  </si>
  <si>
    <t>a</t>
  </si>
  <si>
    <t>1. Ensayo laboratorio (roca intacta)</t>
  </si>
  <si>
    <t>MPa</t>
  </si>
  <si>
    <t>UCS (macizo) H&amp;B</t>
  </si>
  <si>
    <t>ton/m3</t>
  </si>
  <si>
    <t>L (flexion)</t>
  </si>
  <si>
    <t>3. Calculo Luz Máxima</t>
  </si>
  <si>
    <t>W/H</t>
  </si>
  <si>
    <t>Profundidad</t>
  </si>
  <si>
    <t>Esfuerzo vertical</t>
  </si>
  <si>
    <t>Lunder y Pakalnis (Roca Dura)</t>
  </si>
  <si>
    <t>Sp</t>
  </si>
  <si>
    <t>FS</t>
  </si>
  <si>
    <t>Sp/UCS</t>
  </si>
  <si>
    <t>ESFUERZOS INDUCIDOS</t>
  </si>
  <si>
    <t>Esfuerzos inducidos</t>
  </si>
  <si>
    <t>4. Profundidad (Esfuerzos In Situ)</t>
  </si>
  <si>
    <t>5. Resistencia de pilares mineros</t>
  </si>
  <si>
    <t>Modulo  macizo</t>
  </si>
  <si>
    <t>Resistencia a la compresión Global macizo</t>
  </si>
  <si>
    <t>Sigma t(macizo) H&amp;B</t>
  </si>
  <si>
    <t>sigma p / sigma z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</si>
</sst>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"/>
  </numFmts>
  <fonts count="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2" fontId="0" fillId="0" borderId="0" xfId="0" applyNumberFormat="1"/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7" xfId="0" applyFill="1" applyBorder="1"/>
    <xf numFmtId="2" fontId="0" fillId="0" borderId="5" xfId="0" applyNumberFormat="1" applyFill="1" applyBorder="1" applyAlignment="1">
      <alignment horizontal="center"/>
    </xf>
    <xf numFmtId="0" fontId="3" fillId="2" borderId="8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0" borderId="0" xfId="0" applyBorder="1" applyAlignment="1">
      <alignment horizontal="center"/>
    </xf>
    <xf numFmtId="1" fontId="0" fillId="0" borderId="0" xfId="0" applyNumberFormat="1" applyBorder="1"/>
    <xf numFmtId="164" fontId="0" fillId="0" borderId="0" xfId="0" applyNumberFormat="1" applyBorder="1"/>
    <xf numFmtId="1" fontId="0" fillId="0" borderId="5" xfId="0" applyNumberFormat="1" applyBorder="1" applyAlignment="1">
      <alignment horizontal="center"/>
    </xf>
    <xf numFmtId="2" fontId="0" fillId="0" borderId="0" xfId="0" applyNumberFormat="1" applyBorder="1"/>
    <xf numFmtId="167" fontId="0" fillId="0" borderId="0" xfId="0" applyNumberFormat="1" applyBorder="1"/>
    <xf numFmtId="0" fontId="4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5" xfId="0" applyNumberFormat="1" applyBorder="1"/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0" xfId="0" applyFont="1" applyBorder="1"/>
    <xf numFmtId="167" fontId="3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166" fontId="7" fillId="0" borderId="5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65" fontId="7" fillId="2" borderId="0" xfId="0" applyNumberFormat="1" applyFont="1" applyFill="1" applyBorder="1" applyAlignment="1">
      <alignment horizontal="center"/>
    </xf>
    <xf numFmtId="166" fontId="7" fillId="2" borderId="0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2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7" fillId="0" borderId="0" xfId="0" applyFont="1"/>
    <xf numFmtId="0" fontId="0" fillId="0" borderId="8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4" xfId="0" applyNumberFormat="1" applyFill="1" applyBorder="1" applyAlignment="1">
      <alignment horizontal="center"/>
    </xf>
    <xf numFmtId="167" fontId="0" fillId="0" borderId="6" xfId="0" applyNumberFormat="1" applyFill="1" applyBorder="1" applyAlignment="1">
      <alignment horizontal="center"/>
    </xf>
    <xf numFmtId="0" fontId="8" fillId="0" borderId="0" xfId="0" applyFont="1"/>
    <xf numFmtId="0" fontId="6" fillId="0" borderId="0" xfId="0" applyFont="1"/>
    <xf numFmtId="0" fontId="7" fillId="0" borderId="11" xfId="0" applyFont="1" applyBorder="1"/>
    <xf numFmtId="9" fontId="7" fillId="0" borderId="9" xfId="1" applyFont="1" applyBorder="1" applyAlignment="1">
      <alignment horizontal="center"/>
    </xf>
    <xf numFmtId="9" fontId="7" fillId="2" borderId="9" xfId="1" applyFont="1" applyFill="1" applyBorder="1" applyAlignment="1">
      <alignment horizontal="center"/>
    </xf>
    <xf numFmtId="9" fontId="7" fillId="0" borderId="10" xfId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6" xfId="0" applyNumberFormat="1" applyBorder="1"/>
    <xf numFmtId="0" fontId="0" fillId="0" borderId="4" xfId="0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autoTitleDeleted val="1"/>
    <c:plotArea>
      <c:layout>
        <c:manualLayout>
          <c:layoutTarget val="inner"/>
          <c:xMode val="edge"/>
          <c:yMode val="edge"/>
          <c:x val="0.13523143421881448"/>
          <c:y val="7.5075295242396423E-2"/>
          <c:w val="0.82384413214883134"/>
          <c:h val="0.72973186975609361"/>
        </c:manualLayout>
      </c:layout>
      <c:scatterChart>
        <c:scatterStyle val="lineMarker"/>
        <c:ser>
          <c:idx val="0"/>
          <c:order val="0"/>
          <c:tx>
            <c:strRef>
              <c:f>'Metodo Area Tributaria'!$B$2</c:f>
              <c:strCache>
                <c:ptCount val="1"/>
                <c:pt idx="0">
                  <c:v>sp/sz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'Metodo Area Tributaria'!$A$3:$A$10</c:f>
              <c:numCache>
                <c:formatCode>General</c:formatCode>
                <c:ptCount val="8"/>
                <c:pt idx="0">
                  <c:v>0.2</c:v>
                </c:pt>
                <c:pt idx="1">
                  <c:v>0.30000000000000004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0.79999999999999993</c:v>
                </c:pt>
                <c:pt idx="7">
                  <c:v>0.89999999999999991</c:v>
                </c:pt>
              </c:numCache>
            </c:numRef>
          </c:xVal>
          <c:yVal>
            <c:numRef>
              <c:f>'Metodo Area Tributaria'!$B$3:$B$10</c:f>
              <c:numCache>
                <c:formatCode>0.0</c:formatCode>
                <c:ptCount val="8"/>
                <c:pt idx="0">
                  <c:v>1.25</c:v>
                </c:pt>
                <c:pt idx="1">
                  <c:v>1.4285714285714286</c:v>
                </c:pt>
                <c:pt idx="2">
                  <c:v>1.6666666666666667</c:v>
                </c:pt>
                <c:pt idx="3">
                  <c:v>2</c:v>
                </c:pt>
                <c:pt idx="4">
                  <c:v>2.5</c:v>
                </c:pt>
                <c:pt idx="5">
                  <c:v>3.333333333333333</c:v>
                </c:pt>
                <c:pt idx="6">
                  <c:v>4.9999999999999982</c:v>
                </c:pt>
                <c:pt idx="7">
                  <c:v>9.9999999999999911</c:v>
                </c:pt>
              </c:numCache>
            </c:numRef>
          </c:yVal>
        </c:ser>
        <c:dLbls/>
        <c:axId val="84406272"/>
        <c:axId val="84408192"/>
      </c:scatterChart>
      <c:valAx>
        <c:axId val="84406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R</a:t>
                </a:r>
              </a:p>
            </c:rich>
          </c:tx>
          <c:layout>
            <c:manualLayout>
              <c:xMode val="edge"/>
              <c:yMode val="edge"/>
              <c:x val="0.53558765394556751"/>
              <c:y val="0.885888483860277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84408192"/>
        <c:crosses val="autoZero"/>
        <c:crossBetween val="midCat"/>
      </c:valAx>
      <c:valAx>
        <c:axId val="84408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sp/sz</a:t>
                </a:r>
              </a:p>
            </c:rich>
          </c:tx>
          <c:layout>
            <c:manualLayout>
              <c:xMode val="edge"/>
              <c:yMode val="edge"/>
              <c:x val="2.8469775625013613E-2"/>
              <c:y val="0.36937045259259066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844062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044" r="0.75000000000000044" t="1" header="0" footer="0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tx>
        <c:rich>
          <a:bodyPr/>
          <a:lstStyle/>
          <a:p>
            <a:pPr>
              <a:defRPr/>
            </a:pPr>
            <a:r>
              <a:rPr lang="es-CL"/>
              <a:t>F.S. y Recuperación v/s Ancho Pilar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Factor de Seguridad</c:v>
          </c:tx>
          <c:xVal>
            <c:numRef>
              <c:f>'Resistencia Pilares Metodos'!$C$102:$C$121</c:f>
              <c:numCache>
                <c:formatCode>General</c:formatCode>
                <c:ptCount val="20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</c:numCache>
            </c:numRef>
          </c:xVal>
          <c:yVal>
            <c:numRef>
              <c:f>'Resistencia Pilares Metodos'!$J$102:$J$121</c:f>
              <c:numCache>
                <c:formatCode>0.00</c:formatCode>
                <c:ptCount val="20"/>
                <c:pt idx="0">
                  <c:v>0.94913532737816064</c:v>
                </c:pt>
                <c:pt idx="1">
                  <c:v>1.1730650889390666</c:v>
                </c:pt>
                <c:pt idx="2">
                  <c:v>1.4107926308104133</c:v>
                </c:pt>
                <c:pt idx="3">
                  <c:v>1.6579621378620402</c:v>
                </c:pt>
                <c:pt idx="4">
                  <c:v>1.9110510688411224</c:v>
                </c:pt>
                <c:pt idx="5">
                  <c:v>2.1672457606761171</c:v>
                </c:pt>
                <c:pt idx="6">
                  <c:v>2.4242911228410593</c:v>
                </c:pt>
                <c:pt idx="7">
                  <c:v>2.6803724964465676</c:v>
                </c:pt>
                <c:pt idx="8">
                  <c:v>2.9340300687987266</c:v>
                </c:pt>
                <c:pt idx="9">
                  <c:v>3.1840961338398337</c:v>
                </c:pt>
                <c:pt idx="10">
                  <c:v>3.4296470266642474</c:v>
                </c:pt>
                <c:pt idx="11">
                  <c:v>3.6699645176903668</c:v>
                </c:pt>
                <c:pt idx="12">
                  <c:v>3.904503646019152</c:v>
                </c:pt>
                <c:pt idx="13">
                  <c:v>4.1328652957007872</c:v>
                </c:pt>
                <c:pt idx="14">
                  <c:v>4.354772545610194</c:v>
                </c:pt>
                <c:pt idx="15">
                  <c:v>4.570050199560904</c:v>
                </c:pt>
                <c:pt idx="16">
                  <c:v>4.7786070893133914</c:v>
                </c:pt>
                <c:pt idx="17">
                  <c:v>4.9804208329408217</c:v>
                </c:pt>
                <c:pt idx="18">
                  <c:v>5.175524775459782</c:v>
                </c:pt>
                <c:pt idx="19">
                  <c:v>5.3639968637803843</c:v>
                </c:pt>
              </c:numCache>
            </c:numRef>
          </c:yVal>
          <c:smooth val="1"/>
        </c:ser>
        <c:dLbls/>
        <c:axId val="95403392"/>
        <c:axId val="95413760"/>
      </c:scatterChart>
      <c:scatterChart>
        <c:scatterStyle val="smoothMarker"/>
        <c:ser>
          <c:idx val="1"/>
          <c:order val="1"/>
          <c:tx>
            <c:v>Recuperación</c:v>
          </c:tx>
          <c:xVal>
            <c:numRef>
              <c:f>'Resistencia Pilares Metodos'!$C$102:$C$121</c:f>
              <c:numCache>
                <c:formatCode>General</c:formatCode>
                <c:ptCount val="20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</c:numCache>
            </c:numRef>
          </c:xVal>
          <c:yVal>
            <c:numRef>
              <c:f>'Resistencia Pilares Metodos'!$K$102:$K$121</c:f>
              <c:numCache>
                <c:formatCode>0%</c:formatCode>
                <c:ptCount val="20"/>
                <c:pt idx="0">
                  <c:v>0.80859375</c:v>
                </c:pt>
                <c:pt idx="1">
                  <c:v>0.7785467128027681</c:v>
                </c:pt>
                <c:pt idx="2">
                  <c:v>0.75</c:v>
                </c:pt>
                <c:pt idx="3">
                  <c:v>0.7229916897506925</c:v>
                </c:pt>
                <c:pt idx="4">
                  <c:v>0.69750000000000001</c:v>
                </c:pt>
                <c:pt idx="5">
                  <c:v>0.67346938775510212</c:v>
                </c:pt>
                <c:pt idx="6">
                  <c:v>0.65082644628099162</c:v>
                </c:pt>
                <c:pt idx="7">
                  <c:v>0.62948960302457468</c:v>
                </c:pt>
                <c:pt idx="8">
                  <c:v>0.609375</c:v>
                </c:pt>
                <c:pt idx="9">
                  <c:v>0.59040000000000004</c:v>
                </c:pt>
                <c:pt idx="10">
                  <c:v>0.5724852071005917</c:v>
                </c:pt>
                <c:pt idx="11">
                  <c:v>0.55555555555555558</c:v>
                </c:pt>
                <c:pt idx="12">
                  <c:v>0.5395408163265305</c:v>
                </c:pt>
                <c:pt idx="13">
                  <c:v>0.52437574316290125</c:v>
                </c:pt>
                <c:pt idx="14">
                  <c:v>0.51</c:v>
                </c:pt>
                <c:pt idx="15">
                  <c:v>0.4963579604578563</c:v>
                </c:pt>
                <c:pt idx="16">
                  <c:v>0.4833984375</c:v>
                </c:pt>
                <c:pt idx="17">
                  <c:v>0.47107438016528924</c:v>
                </c:pt>
                <c:pt idx="18">
                  <c:v>0.45934256055363309</c:v>
                </c:pt>
                <c:pt idx="19">
                  <c:v>0.44816326530612238</c:v>
                </c:pt>
              </c:numCache>
            </c:numRef>
          </c:yVal>
          <c:smooth val="1"/>
        </c:ser>
        <c:dLbls/>
        <c:axId val="106497536"/>
        <c:axId val="95415680"/>
      </c:scatterChart>
      <c:valAx>
        <c:axId val="9540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s-CL" sz="1200"/>
                  <a:t>Ancho Pilar [m]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413760"/>
        <c:crosses val="autoZero"/>
        <c:crossBetween val="midCat"/>
      </c:valAx>
      <c:valAx>
        <c:axId val="954137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s-CL" sz="1400"/>
                  <a:t>Factor de Seguridad [#]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95403392"/>
        <c:crosses val="autoZero"/>
        <c:crossBetween val="midCat"/>
      </c:valAx>
      <c:valAx>
        <c:axId val="95415680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s-CL" sz="1400"/>
                  <a:t>Recuperación [%]</a:t>
                </a:r>
              </a:p>
            </c:rich>
          </c:tx>
          <c:layout/>
        </c:title>
        <c:numFmt formatCode="0%" sourceLinked="1"/>
        <c:tickLblPos val="nextTo"/>
        <c:crossAx val="106497536"/>
        <c:crosses val="max"/>
        <c:crossBetween val="midCat"/>
      </c:valAx>
      <c:valAx>
        <c:axId val="106497536"/>
        <c:scaling>
          <c:orientation val="minMax"/>
        </c:scaling>
        <c:delete val="1"/>
        <c:axPos val="b"/>
        <c:numFmt formatCode="General" sourceLinked="1"/>
        <c:tickLblPos val="none"/>
        <c:crossAx val="95415680"/>
        <c:crosses val="autoZero"/>
        <c:crossBetween val="midCat"/>
      </c:valAx>
    </c:plotArea>
    <c:legend>
      <c:legendPos val="b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2.jpeg"/><Relationship Id="rId3" Type="http://schemas.openxmlformats.org/officeDocument/2006/relationships/image" Target="../media/image3.jpeg"/><Relationship Id="rId7" Type="http://schemas.openxmlformats.org/officeDocument/2006/relationships/image" Target="../media/image7.wmf"/><Relationship Id="rId12" Type="http://schemas.openxmlformats.org/officeDocument/2006/relationships/chart" Target="../charts/chart2.xm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wmf"/><Relationship Id="rId5" Type="http://schemas.openxmlformats.org/officeDocument/2006/relationships/image" Target="../media/image5.jpeg"/><Relationship Id="rId10" Type="http://schemas.openxmlformats.org/officeDocument/2006/relationships/image" Target="../media/image10.wmf"/><Relationship Id="rId4" Type="http://schemas.openxmlformats.org/officeDocument/2006/relationships/image" Target="../media/image4.png"/><Relationship Id="rId9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11" Type="http://schemas.openxmlformats.org/officeDocument/2006/relationships/image" Target="../media/image23.emf"/><Relationship Id="rId5" Type="http://schemas.openxmlformats.org/officeDocument/2006/relationships/image" Target="../media/image17.emf"/><Relationship Id="rId10" Type="http://schemas.openxmlformats.org/officeDocument/2006/relationships/image" Target="../media/image22.emf"/><Relationship Id="rId4" Type="http://schemas.openxmlformats.org/officeDocument/2006/relationships/image" Target="../media/image16.emf"/><Relationship Id="rId9" Type="http://schemas.openxmlformats.org/officeDocument/2006/relationships/image" Target="../media/image2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38100</xdr:rowOff>
    </xdr:from>
    <xdr:to>
      <xdr:col>9</xdr:col>
      <xdr:colOff>581025</xdr:colOff>
      <xdr:row>20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330200</xdr:colOff>
      <xdr:row>45</xdr:row>
      <xdr:rowOff>50800</xdr:rowOff>
    </xdr:from>
    <xdr:to>
      <xdr:col>30</xdr:col>
      <xdr:colOff>469900</xdr:colOff>
      <xdr:row>58</xdr:row>
      <xdr:rowOff>88900</xdr:rowOff>
    </xdr:to>
    <xdr:pic>
      <xdr:nvPicPr>
        <xdr:cNvPr id="3" name="Picture 8"/>
        <xdr:cNvPicPr>
          <a:picLocks noGrp="1" noChangeAspect="1" noChangeArrowheads="1"/>
        </xdr:cNvPicPr>
      </xdr:nvPicPr>
      <xdr:blipFill>
        <a:blip xmlns:r="http://schemas.openxmlformats.org/officeDocument/2006/relationships" r:embed="rId1" cstate="print"/>
        <a:srcRect l="34769" t="74097" r="28377" b="13737"/>
        <a:stretch>
          <a:fillRect/>
        </a:stretch>
      </xdr:blipFill>
      <xdr:spPr>
        <a:xfrm>
          <a:off x="22783800" y="7518400"/>
          <a:ext cx="6997700" cy="22098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431800</xdr:colOff>
      <xdr:row>44</xdr:row>
      <xdr:rowOff>152400</xdr:rowOff>
    </xdr:from>
    <xdr:to>
      <xdr:col>12</xdr:col>
      <xdr:colOff>358775</xdr:colOff>
      <xdr:row>60</xdr:row>
      <xdr:rowOff>130175</xdr:rowOff>
    </xdr:to>
    <xdr:pic>
      <xdr:nvPicPr>
        <xdr:cNvPr id="4" name="Picture 6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28500" y="7454900"/>
          <a:ext cx="3482975" cy="2657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1181100</xdr:colOff>
      <xdr:row>49</xdr:row>
      <xdr:rowOff>127000</xdr:rowOff>
    </xdr:from>
    <xdr:to>
      <xdr:col>8</xdr:col>
      <xdr:colOff>350837</xdr:colOff>
      <xdr:row>57</xdr:row>
      <xdr:rowOff>0</xdr:rowOff>
    </xdr:to>
    <xdr:pic>
      <xdr:nvPicPr>
        <xdr:cNvPr id="5" name="Picture 5" descr="Slide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46900" y="8255000"/>
          <a:ext cx="4094162" cy="1212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1130300</xdr:colOff>
      <xdr:row>31</xdr:row>
      <xdr:rowOff>0</xdr:rowOff>
    </xdr:from>
    <xdr:to>
      <xdr:col>8</xdr:col>
      <xdr:colOff>47625</xdr:colOff>
      <xdr:row>37</xdr:row>
      <xdr:rowOff>9525</xdr:rowOff>
    </xdr:to>
    <xdr:pic>
      <xdr:nvPicPr>
        <xdr:cNvPr id="2065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600700" y="165100"/>
          <a:ext cx="3841750" cy="1012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9</xdr:col>
      <xdr:colOff>317500</xdr:colOff>
      <xdr:row>62</xdr:row>
      <xdr:rowOff>2683</xdr:rowOff>
    </xdr:from>
    <xdr:to>
      <xdr:col>14</xdr:col>
      <xdr:colOff>203200</xdr:colOff>
      <xdr:row>74</xdr:row>
      <xdr:rowOff>121745</xdr:rowOff>
    </xdr:to>
    <xdr:pic>
      <xdr:nvPicPr>
        <xdr:cNvPr id="9" name="Picture 4" descr="msoB684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718800" y="5362083"/>
          <a:ext cx="5029200" cy="23542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939800</xdr:colOff>
      <xdr:row>75</xdr:row>
      <xdr:rowOff>127000</xdr:rowOff>
    </xdr:from>
    <xdr:to>
      <xdr:col>11</xdr:col>
      <xdr:colOff>368300</xdr:colOff>
      <xdr:row>94</xdr:row>
      <xdr:rowOff>160338</xdr:rowOff>
    </xdr:to>
    <xdr:pic>
      <xdr:nvPicPr>
        <xdr:cNvPr id="17" name="Picture 3" descr="msoEA3B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9055100" y="7899400"/>
          <a:ext cx="4114800" cy="31702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41275</xdr:colOff>
      <xdr:row>149</xdr:row>
      <xdr:rowOff>25400</xdr:rowOff>
    </xdr:from>
    <xdr:to>
      <xdr:col>22</xdr:col>
      <xdr:colOff>41275</xdr:colOff>
      <xdr:row>151</xdr:row>
      <xdr:rowOff>36513</xdr:rowOff>
    </xdr:to>
    <xdr:sp macro="" textlink="">
      <xdr:nvSpPr>
        <xdr:cNvPr id="56" name="Line 10"/>
        <xdr:cNvSpPr>
          <a:spLocks noChangeShapeType="1"/>
        </xdr:cNvSpPr>
      </xdr:nvSpPr>
      <xdr:spPr bwMode="auto">
        <a:xfrm>
          <a:off x="21961475" y="20904200"/>
          <a:ext cx="0" cy="341313"/>
        </a:xfrm>
        <a:prstGeom prst="line">
          <a:avLst/>
        </a:prstGeom>
        <a:noFill/>
        <a:ln w="31750">
          <a:solidFill>
            <a:srgbClr val="000000"/>
          </a:solidFill>
          <a:miter lim="800000"/>
          <a:headEnd/>
          <a:tailEnd type="triangle" w="med" len="med"/>
        </a:ln>
      </xdr:spPr>
      <xdr:txBody>
        <a:bodyPr wrap="square"/>
        <a:lstStyle>
          <a:defPPr>
            <a:defRPr lang="en-US"/>
          </a:defPPr>
          <a:lvl1pPr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es-CL"/>
        </a:p>
      </xdr:txBody>
    </xdr:sp>
    <xdr:clientData/>
  </xdr:twoCellAnchor>
  <xdr:twoCellAnchor>
    <xdr:from>
      <xdr:col>4</xdr:col>
      <xdr:colOff>215900</xdr:colOff>
      <xdr:row>0</xdr:row>
      <xdr:rowOff>0</xdr:rowOff>
    </xdr:from>
    <xdr:to>
      <xdr:col>7</xdr:col>
      <xdr:colOff>376237</xdr:colOff>
      <xdr:row>28</xdr:row>
      <xdr:rowOff>104775</xdr:rowOff>
    </xdr:to>
    <xdr:grpSp>
      <xdr:nvGrpSpPr>
        <xdr:cNvPr id="58" name="57 Grupo"/>
        <xdr:cNvGrpSpPr/>
      </xdr:nvGrpSpPr>
      <xdr:grpSpPr>
        <a:xfrm>
          <a:off x="5978525" y="0"/>
          <a:ext cx="4101306" cy="4772025"/>
          <a:chOff x="10693400" y="16738600"/>
          <a:chExt cx="3805237" cy="4727575"/>
        </a:xfrm>
      </xdr:grpSpPr>
      <xdr:grpSp>
        <xdr:nvGrpSpPr>
          <xdr:cNvPr id="41" name="21 Grupo"/>
          <xdr:cNvGrpSpPr/>
        </xdr:nvGrpSpPr>
        <xdr:grpSpPr>
          <a:xfrm>
            <a:off x="10693400" y="16738600"/>
            <a:ext cx="3805237" cy="4727575"/>
            <a:chOff x="5338763" y="1893888"/>
            <a:chExt cx="3805237" cy="4727575"/>
          </a:xfrm>
        </xdr:grpSpPr>
        <xdr:sp macro="" textlink="">
          <xdr:nvSpPr>
            <xdr:cNvPr id="42" name="Rectangle 6"/>
            <xdr:cNvSpPr>
              <a:spLocks noChangeArrowheads="1"/>
            </xdr:cNvSpPr>
          </xdr:nvSpPr>
          <xdr:spPr bwMode="auto">
            <a:xfrm>
              <a:off x="6121400" y="2890838"/>
              <a:ext cx="620713" cy="1084262"/>
            </a:xfrm>
            <a:prstGeom prst="rect">
              <a:avLst/>
            </a:prstGeom>
            <a:solidFill>
              <a:schemeClr val="hlink"/>
            </a:solidFill>
            <a:ln w="31750">
              <a:solidFill>
                <a:schemeClr val="tx1"/>
              </a:solidFill>
              <a:miter lim="800000"/>
              <a:headEnd/>
              <a:tailEnd/>
            </a:ln>
          </xdr:spPr>
          <xdr:txBody>
            <a:bodyPr wrap="square" anchor="ctr"/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s-ES"/>
            </a:p>
          </xdr:txBody>
        </xdr:sp>
        <xdr:sp macro="" textlink="">
          <xdr:nvSpPr>
            <xdr:cNvPr id="43" name="Line 7"/>
            <xdr:cNvSpPr>
              <a:spLocks noChangeShapeType="1"/>
            </xdr:cNvSpPr>
          </xdr:nvSpPr>
          <xdr:spPr bwMode="auto">
            <a:xfrm>
              <a:off x="5376863" y="2874963"/>
              <a:ext cx="2138362" cy="15875"/>
            </a:xfrm>
            <a:prstGeom prst="line">
              <a:avLst/>
            </a:prstGeom>
            <a:noFill/>
            <a:ln w="31750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wrap="square"/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44" name="Line 8"/>
            <xdr:cNvSpPr>
              <a:spLocks noChangeShapeType="1"/>
            </xdr:cNvSpPr>
          </xdr:nvSpPr>
          <xdr:spPr bwMode="auto">
            <a:xfrm flipV="1">
              <a:off x="5438775" y="3973513"/>
              <a:ext cx="2092325" cy="1587"/>
            </a:xfrm>
            <a:prstGeom prst="line">
              <a:avLst/>
            </a:prstGeom>
            <a:noFill/>
            <a:ln w="31750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wrap="square"/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45" name="Line 11"/>
            <xdr:cNvSpPr>
              <a:spLocks noChangeShapeType="1"/>
            </xdr:cNvSpPr>
          </xdr:nvSpPr>
          <xdr:spPr bwMode="auto">
            <a:xfrm flipV="1">
              <a:off x="6384925" y="3990975"/>
              <a:ext cx="0" cy="373063"/>
            </a:xfrm>
            <a:prstGeom prst="line">
              <a:avLst/>
            </a:prstGeom>
            <a:noFill/>
            <a:ln w="31750">
              <a:solidFill>
                <a:srgbClr val="000000"/>
              </a:solidFill>
              <a:miter lim="800000"/>
              <a:headEnd/>
              <a:tailEnd type="triangle" w="med" len="med"/>
            </a:ln>
          </xdr:spPr>
          <xdr:txBody>
            <a:bodyPr wrap="square"/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pic>
          <xdr:nvPicPr>
            <xdr:cNvPr id="46" name="Object 1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/>
            <a:srcRect/>
            <a:stretch>
              <a:fillRect/>
            </a:stretch>
          </xdr:blipFill>
          <xdr:spPr bwMode="auto">
            <a:xfrm>
              <a:off x="6183313" y="1893888"/>
              <a:ext cx="460375" cy="54768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pic>
          <xdr:nvPicPr>
            <xdr:cNvPr id="47" name="Object 1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 cstate="print"/>
            <a:srcRect/>
            <a:stretch>
              <a:fillRect/>
            </a:stretch>
          </xdr:blipFill>
          <xdr:spPr bwMode="auto">
            <a:xfrm>
              <a:off x="6211888" y="4356100"/>
              <a:ext cx="461962" cy="54768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pic>
          <xdr:nvPicPr>
            <xdr:cNvPr id="48" name="Object 1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/>
            <a:srcRect/>
            <a:stretch>
              <a:fillRect/>
            </a:stretch>
          </xdr:blipFill>
          <xdr:spPr bwMode="auto">
            <a:xfrm>
              <a:off x="7126288" y="3122613"/>
              <a:ext cx="401637" cy="50958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sp macro="" textlink="">
          <xdr:nvSpPr>
            <xdr:cNvPr id="49" name="Line 15"/>
            <xdr:cNvSpPr>
              <a:spLocks noChangeShapeType="1"/>
            </xdr:cNvSpPr>
          </xdr:nvSpPr>
          <xdr:spPr bwMode="auto">
            <a:xfrm flipV="1">
              <a:off x="6540500" y="3371850"/>
              <a:ext cx="511175" cy="107950"/>
            </a:xfrm>
            <a:prstGeom prst="line">
              <a:avLst/>
            </a:prstGeom>
            <a:noFill/>
            <a:ln w="31750">
              <a:solidFill>
                <a:srgbClr val="000000"/>
              </a:solidFill>
              <a:prstDash val="dash"/>
              <a:miter lim="800000"/>
              <a:headEnd type="triangle" w="med" len="med"/>
              <a:tailEnd/>
            </a:ln>
          </xdr:spPr>
          <xdr:txBody>
            <a:bodyPr wrap="square"/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pic>
          <xdr:nvPicPr>
            <xdr:cNvPr id="50" name="Object 1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 cstate="print"/>
            <a:srcRect/>
            <a:stretch>
              <a:fillRect/>
            </a:stretch>
          </xdr:blipFill>
          <xdr:spPr bwMode="auto">
            <a:xfrm>
              <a:off x="5338763" y="4868863"/>
              <a:ext cx="720725" cy="5191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pic>
          <xdr:nvPicPr>
            <xdr:cNvPr id="51" name="Object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/>
            <a:srcRect/>
            <a:stretch>
              <a:fillRect/>
            </a:stretch>
          </xdr:blipFill>
          <xdr:spPr bwMode="auto">
            <a:xfrm>
              <a:off x="5357813" y="5502275"/>
              <a:ext cx="460375" cy="54768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pic>
          <xdr:nvPicPr>
            <xdr:cNvPr id="52" name="Object 1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/>
            <a:srcRect/>
            <a:stretch>
              <a:fillRect/>
            </a:stretch>
          </xdr:blipFill>
          <xdr:spPr bwMode="auto">
            <a:xfrm>
              <a:off x="5372100" y="6111875"/>
              <a:ext cx="401638" cy="50958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</xdr:pic>
        <xdr:sp macro="" textlink="">
          <xdr:nvSpPr>
            <xdr:cNvPr id="53" name="Text Box 19"/>
            <xdr:cNvSpPr txBox="1">
              <a:spLocks noChangeArrowheads="1"/>
            </xdr:cNvSpPr>
          </xdr:nvSpPr>
          <xdr:spPr bwMode="auto">
            <a:xfrm>
              <a:off x="6354763" y="5011738"/>
              <a:ext cx="2789237" cy="581025"/>
            </a:xfrm>
            <a:prstGeom prst="rect">
              <a:avLst/>
            </a:prstGeom>
            <a:noFill/>
            <a:ln w="31750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algn="l"/>
              <a:r>
                <a:rPr lang="es-CL" sz="1600">
                  <a:solidFill>
                    <a:srgbClr val="000000"/>
                  </a:solidFill>
                  <a:latin typeface="Times New Roman" pitchFamily="18" charset="0"/>
                </a:rPr>
                <a:t>Campo de esfuerzos presente en el macizo rocoso</a:t>
              </a:r>
              <a:endParaRPr lang="en-US" sz="1600">
                <a:solidFill>
                  <a:srgbClr val="000000"/>
                </a:solidFill>
                <a:latin typeface="Times New Roman" pitchFamily="18" charset="0"/>
              </a:endParaRPr>
            </a:p>
          </xdr:txBody>
        </xdr:sp>
        <xdr:sp macro="" textlink="">
          <xdr:nvSpPr>
            <xdr:cNvPr id="54" name="Text Box 20"/>
            <xdr:cNvSpPr txBox="1">
              <a:spLocks noChangeArrowheads="1"/>
            </xdr:cNvSpPr>
          </xdr:nvSpPr>
          <xdr:spPr bwMode="auto">
            <a:xfrm>
              <a:off x="6354763" y="5613400"/>
              <a:ext cx="2789237" cy="581025"/>
            </a:xfrm>
            <a:prstGeom prst="rect">
              <a:avLst/>
            </a:prstGeom>
            <a:noFill/>
            <a:ln w="31750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algn="l"/>
              <a:r>
                <a:rPr lang="es-CL" sz="1600">
                  <a:solidFill>
                    <a:srgbClr val="000000"/>
                  </a:solidFill>
                  <a:latin typeface="Times New Roman" pitchFamily="18" charset="0"/>
                </a:rPr>
                <a:t>Campo de esfuerzos actuando sobre el pilar</a:t>
              </a:r>
              <a:endParaRPr lang="en-US" sz="1600">
                <a:solidFill>
                  <a:srgbClr val="000000"/>
                </a:solidFill>
                <a:latin typeface="Times New Roman" pitchFamily="18" charset="0"/>
              </a:endParaRPr>
            </a:p>
          </xdr:txBody>
        </xdr:sp>
        <xdr:sp macro="" textlink="">
          <xdr:nvSpPr>
            <xdr:cNvPr id="55" name="Text Box 21"/>
            <xdr:cNvSpPr txBox="1">
              <a:spLocks noChangeArrowheads="1"/>
            </xdr:cNvSpPr>
          </xdr:nvSpPr>
          <xdr:spPr bwMode="auto">
            <a:xfrm>
              <a:off x="6354763" y="6276975"/>
              <a:ext cx="2789237" cy="336550"/>
            </a:xfrm>
            <a:prstGeom prst="rect">
              <a:avLst/>
            </a:prstGeom>
            <a:noFill/>
            <a:ln w="31750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n-US"/>
              </a:defPPr>
              <a:lvl1pPr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r" rtl="0" fontAlgn="base">
                <a:spcBef>
                  <a:spcPct val="0"/>
                </a:spcBef>
                <a:spcAft>
                  <a:spcPct val="0"/>
                </a:spcAft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400"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algn="l"/>
              <a:r>
                <a:rPr lang="es-CL" sz="1600">
                  <a:solidFill>
                    <a:srgbClr val="000000"/>
                  </a:solidFill>
                  <a:latin typeface="Times New Roman" pitchFamily="18" charset="0"/>
                </a:rPr>
                <a:t>Resistencia del pilar</a:t>
              </a:r>
              <a:endParaRPr lang="en-US" sz="1600">
                <a:solidFill>
                  <a:srgbClr val="000000"/>
                </a:solidFill>
                <a:latin typeface="Times New Roman" pitchFamily="18" charset="0"/>
              </a:endParaRPr>
            </a:p>
          </xdr:txBody>
        </xdr:sp>
      </xdr:grpSp>
      <xdr:sp macro="" textlink="">
        <xdr:nvSpPr>
          <xdr:cNvPr id="57" name="Line 11"/>
          <xdr:cNvSpPr>
            <a:spLocks noChangeShapeType="1"/>
          </xdr:cNvSpPr>
        </xdr:nvSpPr>
        <xdr:spPr bwMode="auto">
          <a:xfrm>
            <a:off x="11811000" y="17360900"/>
            <a:ext cx="0" cy="317500"/>
          </a:xfrm>
          <a:prstGeom prst="line">
            <a:avLst/>
          </a:prstGeom>
          <a:noFill/>
          <a:ln w="31750">
            <a:solidFill>
              <a:srgbClr val="000000"/>
            </a:solidFill>
            <a:miter lim="800000"/>
            <a:headEnd/>
            <a:tailEnd type="triangle" w="med" len="med"/>
          </a:ln>
        </xdr:spPr>
        <xdr:txBody>
          <a:bodyPr wrap="square"/>
          <a:lstStyle>
            <a:defPPr>
              <a:defRPr lang="en-US"/>
            </a:defPPr>
            <a:lvl1pPr algn="r" rtl="0" fontAlgn="base">
              <a:spcBef>
                <a:spcPct val="0"/>
              </a:spcBef>
              <a:spcAft>
                <a:spcPct val="0"/>
              </a:spcAft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1pPr>
            <a:lvl2pPr marL="457200" algn="r" rtl="0" fontAlgn="base">
              <a:spcBef>
                <a:spcPct val="0"/>
              </a:spcBef>
              <a:spcAft>
                <a:spcPct val="0"/>
              </a:spcAft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2pPr>
            <a:lvl3pPr marL="914400" algn="r" rtl="0" fontAlgn="base">
              <a:spcBef>
                <a:spcPct val="0"/>
              </a:spcBef>
              <a:spcAft>
                <a:spcPct val="0"/>
              </a:spcAft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3pPr>
            <a:lvl4pPr marL="1371600" algn="r" rtl="0" fontAlgn="base">
              <a:spcBef>
                <a:spcPct val="0"/>
              </a:spcBef>
              <a:spcAft>
                <a:spcPct val="0"/>
              </a:spcAft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4pPr>
            <a:lvl5pPr marL="1828800" algn="r" rtl="0" fontAlgn="base">
              <a:spcBef>
                <a:spcPct val="0"/>
              </a:spcBef>
              <a:spcAft>
                <a:spcPct val="0"/>
              </a:spcAft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400"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endParaRPr lang="es-CL"/>
          </a:p>
        </xdr:txBody>
      </xdr:sp>
    </xdr:grpSp>
    <xdr:clientData/>
  </xdr:twoCellAnchor>
  <xdr:twoCellAnchor>
    <xdr:from>
      <xdr:col>3</xdr:col>
      <xdr:colOff>850900</xdr:colOff>
      <xdr:row>124</xdr:row>
      <xdr:rowOff>88900</xdr:rowOff>
    </xdr:from>
    <xdr:to>
      <xdr:col>11</xdr:col>
      <xdr:colOff>1041400</xdr:colOff>
      <xdr:row>154</xdr:row>
      <xdr:rowOff>88900</xdr:rowOff>
    </xdr:to>
    <xdr:graphicFrame macro="">
      <xdr:nvGraphicFramePr>
        <xdr:cNvPr id="76" name="7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809625</xdr:colOff>
      <xdr:row>66</xdr:row>
      <xdr:rowOff>119060</xdr:rowOff>
    </xdr:from>
    <xdr:to>
      <xdr:col>17</xdr:col>
      <xdr:colOff>685017</xdr:colOff>
      <xdr:row>83</xdr:row>
      <xdr:rowOff>93433</xdr:rowOff>
    </xdr:to>
    <xdr:grpSp>
      <xdr:nvGrpSpPr>
        <xdr:cNvPr id="61" name="33 Grupo"/>
        <xdr:cNvGrpSpPr/>
      </xdr:nvGrpSpPr>
      <xdr:grpSpPr>
        <a:xfrm>
          <a:off x="17942719" y="11215685"/>
          <a:ext cx="2435236" cy="2939029"/>
          <a:chOff x="1142976" y="1785924"/>
          <a:chExt cx="2435236" cy="2939029"/>
        </a:xfrm>
      </xdr:grpSpPr>
      <xdr:grpSp>
        <xdr:nvGrpSpPr>
          <xdr:cNvPr id="62" name="Group 2"/>
          <xdr:cNvGrpSpPr>
            <a:grpSpLocks/>
          </xdr:cNvGrpSpPr>
        </xdr:nvGrpSpPr>
        <xdr:grpSpPr bwMode="auto">
          <a:xfrm>
            <a:off x="1142976" y="1785924"/>
            <a:ext cx="2160586" cy="2939029"/>
            <a:chOff x="0" y="0"/>
            <a:chExt cx="1361" cy="1849"/>
          </a:xfrm>
        </xdr:grpSpPr>
        <xdr:sp macro="" textlink="">
          <xdr:nvSpPr>
            <xdr:cNvPr id="65" name="Rectangle 3"/>
            <xdr:cNvSpPr>
              <a:spLocks noChangeArrowheads="1"/>
            </xdr:cNvSpPr>
          </xdr:nvSpPr>
          <xdr:spPr bwMode="auto">
            <a:xfrm>
              <a:off x="0" y="912"/>
              <a:ext cx="499" cy="363"/>
            </a:xfrm>
            <a:prstGeom prst="rect">
              <a:avLst/>
            </a:prstGeom>
            <a:solidFill>
              <a:schemeClr val="accent1"/>
            </a:solidFill>
            <a:ln w="9525">
              <a:solidFill>
                <a:schemeClr val="tx1"/>
              </a:solidFill>
              <a:miter lim="800000"/>
              <a:headEnd/>
              <a:tailEnd/>
            </a:ln>
            <a:effectLst/>
          </xdr:spPr>
          <xdr:txBody>
            <a:bodyPr wrap="square" anchor="ctr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66" name="Rectangle 4"/>
            <xdr:cNvSpPr>
              <a:spLocks noChangeArrowheads="1"/>
            </xdr:cNvSpPr>
          </xdr:nvSpPr>
          <xdr:spPr bwMode="auto">
            <a:xfrm>
              <a:off x="862" y="912"/>
              <a:ext cx="499" cy="363"/>
            </a:xfrm>
            <a:prstGeom prst="rect">
              <a:avLst/>
            </a:prstGeom>
            <a:solidFill>
              <a:schemeClr val="accent1"/>
            </a:solidFill>
            <a:ln w="9525">
              <a:solidFill>
                <a:schemeClr val="tx1"/>
              </a:solidFill>
              <a:miter lim="800000"/>
              <a:headEnd/>
              <a:tailEnd/>
            </a:ln>
            <a:effectLst/>
          </xdr:spPr>
          <xdr:txBody>
            <a:bodyPr wrap="square" anchor="ctr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67" name="Line 5"/>
            <xdr:cNvSpPr>
              <a:spLocks noChangeShapeType="1"/>
            </xdr:cNvSpPr>
          </xdr:nvSpPr>
          <xdr:spPr bwMode="auto">
            <a:xfrm flipV="1">
              <a:off x="226" y="685"/>
              <a:ext cx="0" cy="227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68" name="Line 6"/>
            <xdr:cNvSpPr>
              <a:spLocks noChangeShapeType="1"/>
            </xdr:cNvSpPr>
          </xdr:nvSpPr>
          <xdr:spPr bwMode="auto">
            <a:xfrm>
              <a:off x="226" y="685"/>
              <a:ext cx="862" cy="0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69" name="Line 7"/>
            <xdr:cNvSpPr>
              <a:spLocks noChangeShapeType="1"/>
            </xdr:cNvSpPr>
          </xdr:nvSpPr>
          <xdr:spPr bwMode="auto">
            <a:xfrm>
              <a:off x="1088" y="685"/>
              <a:ext cx="0" cy="227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0" name="Line 8"/>
            <xdr:cNvSpPr>
              <a:spLocks noChangeShapeType="1"/>
            </xdr:cNvSpPr>
          </xdr:nvSpPr>
          <xdr:spPr bwMode="auto">
            <a:xfrm>
              <a:off x="317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1" name="Line 9"/>
            <xdr:cNvSpPr>
              <a:spLocks noChangeShapeType="1"/>
            </xdr:cNvSpPr>
          </xdr:nvSpPr>
          <xdr:spPr bwMode="auto">
            <a:xfrm>
              <a:off x="453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2" name="Line 10"/>
            <xdr:cNvSpPr>
              <a:spLocks noChangeShapeType="1"/>
            </xdr:cNvSpPr>
          </xdr:nvSpPr>
          <xdr:spPr bwMode="auto">
            <a:xfrm>
              <a:off x="725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3" name="Line 11"/>
            <xdr:cNvSpPr>
              <a:spLocks noChangeShapeType="1"/>
            </xdr:cNvSpPr>
          </xdr:nvSpPr>
          <xdr:spPr bwMode="auto">
            <a:xfrm>
              <a:off x="862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4" name="Line 12"/>
            <xdr:cNvSpPr>
              <a:spLocks noChangeShapeType="1"/>
            </xdr:cNvSpPr>
          </xdr:nvSpPr>
          <xdr:spPr bwMode="auto">
            <a:xfrm>
              <a:off x="589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5" name="Line 13"/>
            <xdr:cNvSpPr>
              <a:spLocks noChangeShapeType="1"/>
            </xdr:cNvSpPr>
          </xdr:nvSpPr>
          <xdr:spPr bwMode="auto">
            <a:xfrm>
              <a:off x="998" y="413"/>
              <a:ext cx="0" cy="272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7" name="Rectangle 14" descr="Mármol blanco"/>
            <xdr:cNvSpPr>
              <a:spLocks noChangeArrowheads="1"/>
            </xdr:cNvSpPr>
          </xdr:nvSpPr>
          <xdr:spPr bwMode="auto">
            <a:xfrm>
              <a:off x="499" y="912"/>
              <a:ext cx="363" cy="363"/>
            </a:xfrm>
            <a:prstGeom prst="rect">
              <a:avLst/>
            </a:prstGeom>
            <a:blipFill dpi="0" rotWithShape="1">
              <a:blip xmlns:r="http://schemas.openxmlformats.org/officeDocument/2006/relationships" r:embed="rId13" cstate="print"/>
              <a:srcRect/>
              <a:tile tx="0" ty="0" sx="100000" sy="100000" flip="none" algn="tl"/>
            </a:blipFill>
            <a:ln w="9525">
              <a:solidFill>
                <a:schemeClr val="tx1"/>
              </a:solidFill>
              <a:miter lim="800000"/>
              <a:headEnd/>
              <a:tailEnd/>
            </a:ln>
            <a:effectLst/>
          </xdr:spPr>
          <xdr:txBody>
            <a:bodyPr wrap="square" anchor="ctr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78" name="Text Box 15"/>
            <xdr:cNvSpPr txBox="1">
              <a:spLocks noChangeArrowheads="1"/>
            </xdr:cNvSpPr>
          </xdr:nvSpPr>
          <xdr:spPr bwMode="auto">
            <a:xfrm>
              <a:off x="453" y="186"/>
              <a:ext cx="680" cy="23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wrap="square">
              <a:spAutoFit/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spcBef>
                  <a:spcPct val="50000"/>
                </a:spcBef>
              </a:pPr>
              <a:r>
                <a:rPr lang="es-CL" sz="1800">
                  <a:latin typeface="Symbol" pitchFamily="18" charset="2"/>
                </a:rPr>
                <a:t>s</a:t>
              </a:r>
              <a:r>
                <a:rPr lang="es-CL" sz="1800">
                  <a:latin typeface="Arial" charset="0"/>
                </a:rPr>
                <a:t>v</a:t>
              </a:r>
            </a:p>
          </xdr:txBody>
        </xdr:sp>
        <xdr:sp macro="" textlink="">
          <xdr:nvSpPr>
            <xdr:cNvPr id="79" name="Line 16"/>
            <xdr:cNvSpPr>
              <a:spLocks noChangeShapeType="1"/>
            </xdr:cNvSpPr>
          </xdr:nvSpPr>
          <xdr:spPr bwMode="auto">
            <a:xfrm flipV="1">
              <a:off x="544" y="1275"/>
              <a:ext cx="0" cy="181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0" name="Line 17"/>
            <xdr:cNvSpPr>
              <a:spLocks noChangeShapeType="1"/>
            </xdr:cNvSpPr>
          </xdr:nvSpPr>
          <xdr:spPr bwMode="auto">
            <a:xfrm flipV="1">
              <a:off x="635" y="1275"/>
              <a:ext cx="0" cy="181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1" name="Line 18"/>
            <xdr:cNvSpPr>
              <a:spLocks noChangeShapeType="1"/>
            </xdr:cNvSpPr>
          </xdr:nvSpPr>
          <xdr:spPr bwMode="auto">
            <a:xfrm flipV="1">
              <a:off x="725" y="1275"/>
              <a:ext cx="0" cy="181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2" name="Line 19"/>
            <xdr:cNvSpPr>
              <a:spLocks noChangeShapeType="1"/>
            </xdr:cNvSpPr>
          </xdr:nvSpPr>
          <xdr:spPr bwMode="auto">
            <a:xfrm flipV="1">
              <a:off x="816" y="1275"/>
              <a:ext cx="0" cy="181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3" name="Line 20"/>
            <xdr:cNvSpPr>
              <a:spLocks noChangeShapeType="1"/>
            </xdr:cNvSpPr>
          </xdr:nvSpPr>
          <xdr:spPr bwMode="auto">
            <a:xfrm>
              <a:off x="181" y="277"/>
              <a:ext cx="907" cy="0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 type="triangle" w="med" len="med"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4" name="Text Box 21"/>
            <xdr:cNvSpPr txBox="1">
              <a:spLocks noChangeArrowheads="1"/>
            </xdr:cNvSpPr>
          </xdr:nvSpPr>
          <xdr:spPr bwMode="auto">
            <a:xfrm>
              <a:off x="226" y="0"/>
              <a:ext cx="772" cy="23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wrap="square">
              <a:spAutoFit/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spcBef>
                  <a:spcPct val="50000"/>
                </a:spcBef>
              </a:pPr>
              <a:r>
                <a:rPr lang="es-CL" sz="1800">
                  <a:latin typeface="Arial" charset="0"/>
                </a:rPr>
                <a:t>Wo + Wp</a:t>
              </a:r>
            </a:p>
          </xdr:txBody>
        </xdr:sp>
        <xdr:sp macro="" textlink="">
          <xdr:nvSpPr>
            <xdr:cNvPr id="85" name="Line 22"/>
            <xdr:cNvSpPr>
              <a:spLocks noChangeShapeType="1"/>
            </xdr:cNvSpPr>
          </xdr:nvSpPr>
          <xdr:spPr bwMode="auto">
            <a:xfrm>
              <a:off x="499" y="1547"/>
              <a:ext cx="363" cy="0"/>
            </a:xfrm>
            <a:prstGeom prst="line">
              <a:avLst/>
            </a:prstGeom>
            <a:noFill/>
            <a:ln w="9525">
              <a:solidFill>
                <a:schemeClr val="tx1"/>
              </a:solidFill>
              <a:round/>
              <a:headEnd type="triangle" w="med" len="med"/>
              <a:tailEnd type="triangle" w="med" len="med"/>
            </a:ln>
            <a:effectLst/>
          </xdr:spPr>
          <xdr:txBody>
            <a:bodyPr wrap="square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s-CL"/>
            </a:p>
          </xdr:txBody>
        </xdr:sp>
        <xdr:sp macro="" textlink="">
          <xdr:nvSpPr>
            <xdr:cNvPr id="86" name="Text Box 23"/>
            <xdr:cNvSpPr txBox="1">
              <a:spLocks noChangeArrowheads="1"/>
            </xdr:cNvSpPr>
          </xdr:nvSpPr>
          <xdr:spPr bwMode="auto">
            <a:xfrm>
              <a:off x="540" y="1618"/>
              <a:ext cx="454" cy="23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wrap="square">
              <a:spAutoFit/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spcBef>
                  <a:spcPct val="50000"/>
                </a:spcBef>
              </a:pPr>
              <a:r>
                <a:rPr lang="es-CL" sz="1800">
                  <a:latin typeface="Arial" charset="0"/>
                </a:rPr>
                <a:t>Wp</a:t>
              </a:r>
            </a:p>
          </xdr:txBody>
        </xdr:sp>
        <xdr:sp macro="" textlink="">
          <xdr:nvSpPr>
            <xdr:cNvPr id="87" name="Text Box 24"/>
            <xdr:cNvSpPr txBox="1">
              <a:spLocks noChangeArrowheads="1"/>
            </xdr:cNvSpPr>
          </xdr:nvSpPr>
          <xdr:spPr bwMode="auto">
            <a:xfrm>
              <a:off x="136" y="1365"/>
              <a:ext cx="317" cy="23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wrap="square">
              <a:spAutoFit/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spcBef>
                  <a:spcPct val="50000"/>
                </a:spcBef>
              </a:pPr>
              <a:r>
                <a:rPr lang="es-CL" sz="1800">
                  <a:latin typeface="Symbol" pitchFamily="18" charset="2"/>
                </a:rPr>
                <a:t>s</a:t>
              </a:r>
              <a:r>
                <a:rPr lang="es-CL" sz="1800">
                  <a:latin typeface="Arial" charset="0"/>
                </a:rPr>
                <a:t>p</a:t>
              </a:r>
            </a:p>
          </xdr:txBody>
        </xdr:sp>
      </xdr:grpSp>
      <xdr:cxnSp macro="">
        <xdr:nvCxnSpPr>
          <xdr:cNvPr id="63" name="28 Conector recto de flecha"/>
          <xdr:cNvCxnSpPr>
            <a:stCxn id="66" idx="0"/>
            <a:endCxn id="66" idx="2"/>
          </xdr:cNvCxnSpPr>
        </xdr:nvCxnSpPr>
        <xdr:spPr>
          <a:xfrm rot="16200000" flipH="1">
            <a:off x="2618982" y="3524070"/>
            <a:ext cx="576997" cy="1588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Text Box 23"/>
          <xdr:cNvSpPr txBox="1">
            <a:spLocks noChangeArrowheads="1"/>
          </xdr:cNvSpPr>
        </xdr:nvSpPr>
        <xdr:spPr bwMode="auto">
          <a:xfrm>
            <a:off x="2857488" y="3357562"/>
            <a:ext cx="720724" cy="36718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square"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spcBef>
                <a:spcPct val="50000"/>
              </a:spcBef>
            </a:pPr>
            <a:r>
              <a:rPr lang="es-CL" sz="1800">
                <a:latin typeface="Arial" charset="0"/>
              </a:rPr>
              <a:t>Hp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0"/>
  <sheetViews>
    <sheetView workbookViewId="0">
      <selection activeCell="I1" sqref="I1"/>
    </sheetView>
  </sheetViews>
  <sheetFormatPr baseColWidth="10" defaultRowHeight="12.75"/>
  <sheetData>
    <row r="2" spans="1:2">
      <c r="A2" t="s">
        <v>7</v>
      </c>
      <c r="B2" t="s">
        <v>8</v>
      </c>
    </row>
    <row r="3" spans="1:2">
      <c r="A3">
        <v>0.2</v>
      </c>
      <c r="B3" s="2">
        <f>1/(1-A3)</f>
        <v>1.25</v>
      </c>
    </row>
    <row r="4" spans="1:2">
      <c r="A4">
        <f>A3+0.1</f>
        <v>0.30000000000000004</v>
      </c>
      <c r="B4" s="2">
        <f t="shared" ref="B4:B10" si="0">1/(1-A4)</f>
        <v>1.4285714285714286</v>
      </c>
    </row>
    <row r="5" spans="1:2">
      <c r="A5">
        <f t="shared" ref="A5:A10" si="1">A4+0.1</f>
        <v>0.4</v>
      </c>
      <c r="B5" s="2">
        <f t="shared" si="0"/>
        <v>1.6666666666666667</v>
      </c>
    </row>
    <row r="6" spans="1:2">
      <c r="A6">
        <f t="shared" si="1"/>
        <v>0.5</v>
      </c>
      <c r="B6" s="2">
        <f t="shared" si="0"/>
        <v>2</v>
      </c>
    </row>
    <row r="7" spans="1:2">
      <c r="A7">
        <f t="shared" si="1"/>
        <v>0.6</v>
      </c>
      <c r="B7" s="2">
        <f t="shared" si="0"/>
        <v>2.5</v>
      </c>
    </row>
    <row r="8" spans="1:2">
      <c r="A8">
        <f t="shared" si="1"/>
        <v>0.7</v>
      </c>
      <c r="B8" s="2">
        <f t="shared" si="0"/>
        <v>3.333333333333333</v>
      </c>
    </row>
    <row r="9" spans="1:2">
      <c r="A9">
        <f t="shared" si="1"/>
        <v>0.79999999999999993</v>
      </c>
      <c r="B9" s="2">
        <f t="shared" si="0"/>
        <v>4.9999999999999982</v>
      </c>
    </row>
    <row r="10" spans="1:2">
      <c r="A10">
        <f t="shared" si="1"/>
        <v>0.89999999999999991</v>
      </c>
      <c r="B10" s="2">
        <f t="shared" si="0"/>
        <v>9.9999999999999911</v>
      </c>
    </row>
  </sheetData>
  <phoneticPr fontId="2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2:K129"/>
  <sheetViews>
    <sheetView tabSelected="1" topLeftCell="A89" zoomScale="80" zoomScaleNormal="80" workbookViewId="0">
      <selection activeCell="G107" sqref="G107"/>
    </sheetView>
  </sheetViews>
  <sheetFormatPr baseColWidth="10" defaultRowHeight="12.75"/>
  <cols>
    <col min="1" max="1" width="22.42578125" customWidth="1"/>
    <col min="2" max="2" width="10.5703125" customWidth="1"/>
    <col min="3" max="3" width="15.85546875" customWidth="1"/>
    <col min="4" max="4" width="37.5703125" bestFit="1" customWidth="1"/>
    <col min="5" max="5" width="20.28515625" customWidth="1"/>
    <col min="6" max="6" width="20" customWidth="1"/>
    <col min="7" max="7" width="18.7109375" customWidth="1"/>
    <col min="8" max="8" width="14.7109375" customWidth="1"/>
    <col min="9" max="9" width="19.5703125" customWidth="1"/>
    <col min="10" max="10" width="18.42578125" customWidth="1"/>
    <col min="11" max="11" width="17.42578125" customWidth="1"/>
    <col min="12" max="12" width="17.28515625" customWidth="1"/>
    <col min="13" max="13" width="12.42578125" bestFit="1" customWidth="1"/>
    <col min="15" max="15" width="15.5703125" customWidth="1"/>
  </cols>
  <sheetData>
    <row r="32" ht="13.5" thickBot="1"/>
    <row r="33" spans="1:4">
      <c r="A33" s="96" t="s">
        <v>45</v>
      </c>
      <c r="B33" s="97"/>
      <c r="C33" s="97"/>
      <c r="D33" s="98"/>
    </row>
    <row r="34" spans="1:4">
      <c r="A34" s="7" t="s">
        <v>19</v>
      </c>
      <c r="B34" s="8">
        <v>150</v>
      </c>
      <c r="C34" s="8" t="s">
        <v>4</v>
      </c>
      <c r="D34" s="9"/>
    </row>
    <row r="35" spans="1:4">
      <c r="A35" s="7" t="s">
        <v>20</v>
      </c>
      <c r="B35" s="8">
        <v>100</v>
      </c>
      <c r="C35" s="8" t="s">
        <v>22</v>
      </c>
      <c r="D35" s="9"/>
    </row>
    <row r="36" spans="1:4">
      <c r="A36" s="7" t="s">
        <v>21</v>
      </c>
      <c r="B36" s="8">
        <v>50</v>
      </c>
      <c r="C36" s="8" t="s">
        <v>22</v>
      </c>
      <c r="D36" s="9"/>
    </row>
    <row r="37" spans="1:4">
      <c r="A37" s="7" t="s">
        <v>23</v>
      </c>
      <c r="B37" s="24">
        <f>(B36^2*PI()/4)*B35</f>
        <v>196349.54084936206</v>
      </c>
      <c r="C37" s="8" t="s">
        <v>24</v>
      </c>
      <c r="D37" s="9"/>
    </row>
    <row r="38" spans="1:4">
      <c r="A38" s="7" t="s">
        <v>26</v>
      </c>
      <c r="B38" s="25">
        <f>B37/10^9</f>
        <v>1.9634954084936205E-4</v>
      </c>
      <c r="C38" s="8" t="s">
        <v>25</v>
      </c>
      <c r="D38" s="9"/>
    </row>
    <row r="39" spans="1:4" ht="13.5" thickBot="1">
      <c r="A39" s="12" t="s">
        <v>27</v>
      </c>
      <c r="B39" s="10">
        <f>B35/B36</f>
        <v>2</v>
      </c>
      <c r="C39" s="10"/>
      <c r="D39" s="11"/>
    </row>
    <row r="40" spans="1:4" ht="13.5" thickBot="1"/>
    <row r="41" spans="1:4">
      <c r="A41" s="96" t="s">
        <v>41</v>
      </c>
      <c r="B41" s="97"/>
      <c r="C41" s="97"/>
      <c r="D41" s="98"/>
    </row>
    <row r="42" spans="1:4">
      <c r="A42" s="7" t="s">
        <v>38</v>
      </c>
      <c r="B42" s="23">
        <v>80</v>
      </c>
      <c r="C42" s="8"/>
      <c r="D42" s="9"/>
    </row>
    <row r="43" spans="1:4">
      <c r="A43" s="7" t="s">
        <v>39</v>
      </c>
      <c r="B43" s="23">
        <v>25</v>
      </c>
      <c r="C43" s="8"/>
      <c r="D43" s="9"/>
    </row>
    <row r="44" spans="1:4">
      <c r="A44" s="7" t="s">
        <v>40</v>
      </c>
      <c r="B44" s="23">
        <v>0.5</v>
      </c>
      <c r="C44" s="8"/>
      <c r="D44" s="9"/>
    </row>
    <row r="45" spans="1:4">
      <c r="A45" s="7" t="s">
        <v>42</v>
      </c>
      <c r="B45" s="13">
        <f>B43*EXP((B42-100)/(28-14*B44))</f>
        <v>9.6455326707281035</v>
      </c>
      <c r="C45" s="8"/>
      <c r="D45" s="9"/>
    </row>
    <row r="46" spans="1:4">
      <c r="A46" s="7" t="s">
        <v>43</v>
      </c>
      <c r="B46" s="17">
        <f>EXP((B42-100)/(9-3*B44))</f>
        <v>6.9483451222801543E-2</v>
      </c>
      <c r="C46" s="8"/>
      <c r="D46" s="9"/>
    </row>
    <row r="47" spans="1:4">
      <c r="A47" s="7" t="s">
        <v>44</v>
      </c>
      <c r="B47" s="13">
        <f>0.5+(1/6)*(EXP(-B42/5)-EXP(-20/3))</f>
        <v>0.4997879131223058</v>
      </c>
      <c r="C47" s="8"/>
      <c r="D47" s="9"/>
    </row>
    <row r="48" spans="1:4">
      <c r="A48" s="7"/>
      <c r="B48" s="8"/>
      <c r="C48" s="8"/>
      <c r="D48" s="9" t="s">
        <v>63</v>
      </c>
    </row>
    <row r="49" spans="1:5">
      <c r="A49" s="7" t="s">
        <v>47</v>
      </c>
      <c r="B49" s="14">
        <f>B34*(B46^B47)</f>
        <v>39.56193923978639</v>
      </c>
      <c r="C49" s="8" t="s">
        <v>46</v>
      </c>
      <c r="D49" s="93">
        <f>((B45+4*B46-B47*(B45-8*B46)*((B45/4+B46)^(B47-1)))/(2*(1+B47)*(2+B47)))*B34</f>
        <v>140.82743179506352</v>
      </c>
      <c r="E49" t="s">
        <v>4</v>
      </c>
    </row>
    <row r="50" spans="1:5">
      <c r="A50" s="102" t="s">
        <v>64</v>
      </c>
      <c r="B50" s="13">
        <f>-B34*B46/B45</f>
        <v>-1.0805538728877144</v>
      </c>
      <c r="C50" s="8" t="s">
        <v>46</v>
      </c>
      <c r="D50" s="9"/>
    </row>
    <row r="51" spans="1:5" ht="13.5" thickBot="1">
      <c r="A51" s="18" t="s">
        <v>62</v>
      </c>
      <c r="B51" s="26">
        <f>(1-B44/2)*(B34/100)^0.5*10^((B42-10)/40)</f>
        <v>51.654349049882242</v>
      </c>
      <c r="C51" s="10" t="s">
        <v>10</v>
      </c>
      <c r="D51" s="94"/>
    </row>
    <row r="52" spans="1:5" ht="13.5" thickBot="1"/>
    <row r="53" spans="1:5">
      <c r="A53" s="96" t="s">
        <v>50</v>
      </c>
      <c r="B53" s="97"/>
      <c r="C53" s="97"/>
      <c r="D53" s="98"/>
    </row>
    <row r="54" spans="1:5">
      <c r="A54" s="7" t="s">
        <v>9</v>
      </c>
      <c r="B54" s="8"/>
      <c r="C54" s="27">
        <f>-B50</f>
        <v>1.0805538728877144</v>
      </c>
      <c r="D54" s="9" t="s">
        <v>4</v>
      </c>
    </row>
    <row r="55" spans="1:5">
      <c r="A55" s="7" t="s">
        <v>35</v>
      </c>
      <c r="B55" s="8"/>
      <c r="C55" s="24">
        <f>B51</f>
        <v>51.654349049882242</v>
      </c>
      <c r="D55" s="9" t="s">
        <v>10</v>
      </c>
    </row>
    <row r="56" spans="1:5">
      <c r="A56" s="7" t="s">
        <v>11</v>
      </c>
      <c r="B56" s="8"/>
      <c r="C56" s="8">
        <v>2.7</v>
      </c>
      <c r="D56" s="9" t="s">
        <v>48</v>
      </c>
    </row>
    <row r="57" spans="1:5">
      <c r="A57" s="7" t="s">
        <v>12</v>
      </c>
      <c r="B57" s="8"/>
      <c r="C57" s="8">
        <f>C56*1000*9.8/1000</f>
        <v>26.460000000000004</v>
      </c>
      <c r="D57" s="9" t="s">
        <v>13</v>
      </c>
    </row>
    <row r="58" spans="1:5">
      <c r="A58" s="7" t="s">
        <v>16</v>
      </c>
      <c r="B58" s="8"/>
      <c r="C58" s="8">
        <f>C57/1000</f>
        <v>2.6460000000000004E-2</v>
      </c>
      <c r="D58" s="9" t="s">
        <v>15</v>
      </c>
    </row>
    <row r="59" spans="1:5">
      <c r="A59" s="7" t="s">
        <v>49</v>
      </c>
      <c r="B59" s="8"/>
      <c r="C59" s="28">
        <f>(C54/C58*2)^0.5</f>
        <v>9.0373955308446465</v>
      </c>
      <c r="D59" s="9" t="s">
        <v>14</v>
      </c>
    </row>
    <row r="60" spans="1:5" ht="13.5" thickBot="1">
      <c r="A60" s="12" t="s">
        <v>17</v>
      </c>
      <c r="B60" s="10"/>
      <c r="C60" s="10">
        <f>C58*C59^4/(32*C55*1000)</f>
        <v>1.0678398617910424E-4</v>
      </c>
      <c r="D60" s="11" t="s">
        <v>14</v>
      </c>
    </row>
    <row r="63" spans="1:5" ht="20.25">
      <c r="A63" s="29" t="s">
        <v>59</v>
      </c>
    </row>
    <row r="64" spans="1:5" ht="13.5" thickBot="1"/>
    <row r="65" spans="1:9">
      <c r="C65" s="20" t="s">
        <v>60</v>
      </c>
      <c r="D65" s="21"/>
      <c r="E65" s="21"/>
      <c r="F65" s="22"/>
    </row>
    <row r="66" spans="1:9">
      <c r="C66" s="7"/>
      <c r="D66" s="8"/>
      <c r="E66" s="8"/>
      <c r="F66" s="9"/>
    </row>
    <row r="67" spans="1:9">
      <c r="C67" s="7" t="s">
        <v>52</v>
      </c>
      <c r="D67" s="8">
        <v>400</v>
      </c>
      <c r="E67" s="8" t="s">
        <v>14</v>
      </c>
      <c r="F67" s="9"/>
    </row>
    <row r="68" spans="1:9">
      <c r="C68" s="7" t="s">
        <v>31</v>
      </c>
      <c r="D68" s="8">
        <f>2700*9.8/1000000</f>
        <v>2.6460000000000004E-2</v>
      </c>
      <c r="E68" s="8" t="s">
        <v>15</v>
      </c>
      <c r="F68" s="9"/>
    </row>
    <row r="69" spans="1:9" ht="13.5" thickBot="1">
      <c r="C69" s="12" t="s">
        <v>53</v>
      </c>
      <c r="D69" s="33">
        <f>D68*D67</f>
        <v>10.584000000000001</v>
      </c>
      <c r="E69" s="10" t="s">
        <v>4</v>
      </c>
      <c r="F69" s="11"/>
    </row>
    <row r="70" spans="1:9" ht="18">
      <c r="I70" s="87"/>
    </row>
    <row r="71" spans="1:9" ht="18.75" thickBot="1">
      <c r="I71" s="87"/>
    </row>
    <row r="72" spans="1:9">
      <c r="C72" s="20" t="s">
        <v>58</v>
      </c>
      <c r="D72" s="21"/>
      <c r="E72" s="5"/>
      <c r="F72" s="5"/>
      <c r="G72" s="6"/>
    </row>
    <row r="73" spans="1:9">
      <c r="A73" s="8"/>
      <c r="B73" s="8"/>
      <c r="C73" s="7" t="s">
        <v>30</v>
      </c>
      <c r="D73" s="8"/>
      <c r="E73" s="8"/>
      <c r="F73" s="8"/>
      <c r="G73" s="9"/>
    </row>
    <row r="74" spans="1:9">
      <c r="A74" s="8"/>
      <c r="B74" s="8"/>
      <c r="C74" s="30" t="s">
        <v>0</v>
      </c>
      <c r="D74" s="23" t="s">
        <v>28</v>
      </c>
      <c r="E74" s="23" t="s">
        <v>1</v>
      </c>
      <c r="F74" s="103" t="s">
        <v>65</v>
      </c>
      <c r="G74" s="95" t="s">
        <v>29</v>
      </c>
    </row>
    <row r="75" spans="1:9" ht="13.5" thickBot="1">
      <c r="A75" s="37"/>
      <c r="B75" s="38"/>
      <c r="C75" s="30" t="s">
        <v>14</v>
      </c>
      <c r="D75" s="23" t="s">
        <v>14</v>
      </c>
      <c r="E75" s="23" t="s">
        <v>14</v>
      </c>
      <c r="F75" s="23" t="s">
        <v>36</v>
      </c>
      <c r="G75" s="82" t="s">
        <v>4</v>
      </c>
    </row>
    <row r="76" spans="1:9">
      <c r="C76" s="78">
        <f>C102</f>
        <v>7</v>
      </c>
      <c r="D76" s="43">
        <f>D102</f>
        <v>10</v>
      </c>
      <c r="E76" s="43">
        <v>9</v>
      </c>
      <c r="F76" s="79">
        <f>(1+E76/C76)^2</f>
        <v>5.2244897959183669</v>
      </c>
      <c r="G76" s="83">
        <f t="shared" ref="G76:G95" si="0">$D$69*F76</f>
        <v>55.296000000000006</v>
      </c>
    </row>
    <row r="77" spans="1:9">
      <c r="C77" s="30">
        <f t="shared" ref="C77:D95" si="1">C103</f>
        <v>8</v>
      </c>
      <c r="D77" s="23">
        <f t="shared" si="1"/>
        <v>10</v>
      </c>
      <c r="E77" s="23">
        <v>9</v>
      </c>
      <c r="F77" s="13">
        <f t="shared" ref="F77:F95" si="2">(1+E77/C77)^2</f>
        <v>4.515625</v>
      </c>
      <c r="G77" s="84">
        <f t="shared" si="0"/>
        <v>47.793375000000005</v>
      </c>
    </row>
    <row r="78" spans="1:9">
      <c r="C78" s="30">
        <f t="shared" si="1"/>
        <v>9</v>
      </c>
      <c r="D78" s="23">
        <f t="shared" si="1"/>
        <v>10</v>
      </c>
      <c r="E78" s="23">
        <v>9</v>
      </c>
      <c r="F78" s="13">
        <f t="shared" si="2"/>
        <v>4</v>
      </c>
      <c r="G78" s="84">
        <f t="shared" si="0"/>
        <v>42.336000000000006</v>
      </c>
    </row>
    <row r="79" spans="1:9">
      <c r="C79" s="30">
        <f t="shared" si="1"/>
        <v>10</v>
      </c>
      <c r="D79" s="23">
        <f t="shared" si="1"/>
        <v>10</v>
      </c>
      <c r="E79" s="23">
        <v>9</v>
      </c>
      <c r="F79" s="13">
        <f t="shared" si="2"/>
        <v>3.61</v>
      </c>
      <c r="G79" s="84">
        <f t="shared" si="0"/>
        <v>38.208240000000004</v>
      </c>
    </row>
    <row r="80" spans="1:9">
      <c r="A80" s="7"/>
      <c r="B80" s="8"/>
      <c r="C80" s="30">
        <f t="shared" si="1"/>
        <v>11</v>
      </c>
      <c r="D80" s="23">
        <f t="shared" si="1"/>
        <v>10</v>
      </c>
      <c r="E80" s="23">
        <v>9</v>
      </c>
      <c r="F80" s="13">
        <f t="shared" si="2"/>
        <v>3.3057851239669427</v>
      </c>
      <c r="G80" s="84">
        <f t="shared" si="0"/>
        <v>34.988429752066125</v>
      </c>
    </row>
    <row r="81" spans="1:7">
      <c r="A81" s="7"/>
      <c r="B81" s="8"/>
      <c r="C81" s="30">
        <f t="shared" si="1"/>
        <v>12</v>
      </c>
      <c r="D81" s="23">
        <f t="shared" si="1"/>
        <v>10</v>
      </c>
      <c r="E81" s="23">
        <v>9</v>
      </c>
      <c r="F81" s="13">
        <f t="shared" si="2"/>
        <v>3.0625</v>
      </c>
      <c r="G81" s="84">
        <f t="shared" si="0"/>
        <v>32.413500000000006</v>
      </c>
    </row>
    <row r="82" spans="1:7">
      <c r="A82" s="7"/>
      <c r="B82" s="8"/>
      <c r="C82" s="30">
        <f t="shared" si="1"/>
        <v>13</v>
      </c>
      <c r="D82" s="23">
        <f t="shared" si="1"/>
        <v>10</v>
      </c>
      <c r="E82" s="23">
        <v>9</v>
      </c>
      <c r="F82" s="13">
        <f t="shared" si="2"/>
        <v>2.863905325443787</v>
      </c>
      <c r="G82" s="84">
        <f t="shared" si="0"/>
        <v>30.311573964497047</v>
      </c>
    </row>
    <row r="83" spans="1:7">
      <c r="A83" s="7"/>
      <c r="B83" s="8"/>
      <c r="C83" s="30">
        <f t="shared" si="1"/>
        <v>14</v>
      </c>
      <c r="D83" s="23">
        <f t="shared" si="1"/>
        <v>10</v>
      </c>
      <c r="E83" s="23">
        <v>9</v>
      </c>
      <c r="F83" s="13">
        <f t="shared" si="2"/>
        <v>2.6989795918367343</v>
      </c>
      <c r="G83" s="84">
        <f t="shared" si="0"/>
        <v>28.565999999999999</v>
      </c>
    </row>
    <row r="84" spans="1:7">
      <c r="C84" s="30">
        <f t="shared" si="1"/>
        <v>15</v>
      </c>
      <c r="D84" s="23">
        <f t="shared" si="1"/>
        <v>10</v>
      </c>
      <c r="E84" s="23">
        <v>9</v>
      </c>
      <c r="F84" s="13">
        <f t="shared" si="2"/>
        <v>2.5600000000000005</v>
      </c>
      <c r="G84" s="84">
        <f t="shared" si="0"/>
        <v>27.095040000000008</v>
      </c>
    </row>
    <row r="85" spans="1:7">
      <c r="C85" s="30">
        <f t="shared" si="1"/>
        <v>16</v>
      </c>
      <c r="D85" s="23">
        <f t="shared" si="1"/>
        <v>10</v>
      </c>
      <c r="E85" s="23">
        <v>9</v>
      </c>
      <c r="F85" s="13">
        <f t="shared" si="2"/>
        <v>2.44140625</v>
      </c>
      <c r="G85" s="84">
        <f t="shared" si="0"/>
        <v>25.839843750000004</v>
      </c>
    </row>
    <row r="86" spans="1:7">
      <c r="C86" s="30">
        <f t="shared" si="1"/>
        <v>17</v>
      </c>
      <c r="D86" s="23">
        <f t="shared" si="1"/>
        <v>10</v>
      </c>
      <c r="E86" s="23">
        <v>9</v>
      </c>
      <c r="F86" s="13">
        <f t="shared" si="2"/>
        <v>2.3391003460207611</v>
      </c>
      <c r="G86" s="84">
        <f t="shared" si="0"/>
        <v>24.75703806228374</v>
      </c>
    </row>
    <row r="87" spans="1:7" s="4" customFormat="1">
      <c r="C87" s="30">
        <f t="shared" si="1"/>
        <v>18</v>
      </c>
      <c r="D87" s="23">
        <f t="shared" si="1"/>
        <v>10</v>
      </c>
      <c r="E87" s="66">
        <v>9</v>
      </c>
      <c r="F87" s="15">
        <f t="shared" si="2"/>
        <v>2.25</v>
      </c>
      <c r="G87" s="85">
        <f t="shared" si="0"/>
        <v>23.814000000000004</v>
      </c>
    </row>
    <row r="88" spans="1:7">
      <c r="C88" s="30">
        <f t="shared" si="1"/>
        <v>19</v>
      </c>
      <c r="D88" s="23">
        <f t="shared" si="1"/>
        <v>10</v>
      </c>
      <c r="E88" s="23">
        <v>9</v>
      </c>
      <c r="F88" s="15">
        <f t="shared" si="2"/>
        <v>2.1717451523545703</v>
      </c>
      <c r="G88" s="85">
        <f t="shared" si="0"/>
        <v>22.985750692520774</v>
      </c>
    </row>
    <row r="89" spans="1:7">
      <c r="C89" s="30">
        <f t="shared" si="1"/>
        <v>20</v>
      </c>
      <c r="D89" s="23">
        <f t="shared" si="1"/>
        <v>10</v>
      </c>
      <c r="E89" s="23">
        <v>9</v>
      </c>
      <c r="F89" s="15">
        <f t="shared" si="2"/>
        <v>2.1025</v>
      </c>
      <c r="G89" s="85">
        <f t="shared" si="0"/>
        <v>22.252860000000002</v>
      </c>
    </row>
    <row r="90" spans="1:7">
      <c r="C90" s="30">
        <f t="shared" si="1"/>
        <v>21</v>
      </c>
      <c r="D90" s="23">
        <f t="shared" si="1"/>
        <v>10</v>
      </c>
      <c r="E90" s="23">
        <v>9</v>
      </c>
      <c r="F90" s="15">
        <f t="shared" si="2"/>
        <v>2.0408163265306123</v>
      </c>
      <c r="G90" s="85">
        <f t="shared" si="0"/>
        <v>21.600000000000005</v>
      </c>
    </row>
    <row r="91" spans="1:7">
      <c r="C91" s="30">
        <f t="shared" si="1"/>
        <v>22</v>
      </c>
      <c r="D91" s="23">
        <f t="shared" si="1"/>
        <v>10</v>
      </c>
      <c r="E91" s="23">
        <v>9</v>
      </c>
      <c r="F91" s="15">
        <f t="shared" si="2"/>
        <v>1.9855371900826448</v>
      </c>
      <c r="G91" s="85">
        <f t="shared" si="0"/>
        <v>21.014925619834717</v>
      </c>
    </row>
    <row r="92" spans="1:7">
      <c r="C92" s="30">
        <f t="shared" si="1"/>
        <v>23</v>
      </c>
      <c r="D92" s="23">
        <f t="shared" si="1"/>
        <v>10</v>
      </c>
      <c r="E92" s="23">
        <v>9</v>
      </c>
      <c r="F92" s="15">
        <f t="shared" si="2"/>
        <v>1.935727788279773</v>
      </c>
      <c r="G92" s="85">
        <f t="shared" si="0"/>
        <v>20.48774291115312</v>
      </c>
    </row>
    <row r="93" spans="1:7">
      <c r="C93" s="30">
        <f t="shared" si="1"/>
        <v>24</v>
      </c>
      <c r="D93" s="23">
        <f t="shared" si="1"/>
        <v>10</v>
      </c>
      <c r="E93" s="23">
        <v>9</v>
      </c>
      <c r="F93" s="13">
        <f t="shared" si="2"/>
        <v>1.890625</v>
      </c>
      <c r="G93" s="84">
        <f t="shared" si="0"/>
        <v>20.010375000000003</v>
      </c>
    </row>
    <row r="94" spans="1:7">
      <c r="C94" s="30">
        <f t="shared" si="1"/>
        <v>25</v>
      </c>
      <c r="D94" s="23">
        <f t="shared" si="1"/>
        <v>10</v>
      </c>
      <c r="E94" s="23">
        <v>9</v>
      </c>
      <c r="F94" s="15">
        <f t="shared" si="2"/>
        <v>1.8495999999999997</v>
      </c>
      <c r="G94" s="85">
        <f t="shared" si="0"/>
        <v>19.576166399999998</v>
      </c>
    </row>
    <row r="95" spans="1:7" ht="13.5" thickBot="1">
      <c r="C95" s="32">
        <f t="shared" si="1"/>
        <v>26</v>
      </c>
      <c r="D95" s="31">
        <f t="shared" si="1"/>
        <v>10</v>
      </c>
      <c r="E95" s="31">
        <v>9</v>
      </c>
      <c r="F95" s="19">
        <f t="shared" si="2"/>
        <v>1.8121301775147931</v>
      </c>
      <c r="G95" s="86">
        <f t="shared" si="0"/>
        <v>19.179585798816571</v>
      </c>
    </row>
    <row r="96" spans="1:7">
      <c r="C96" s="23"/>
      <c r="D96" s="23"/>
      <c r="E96" s="23"/>
      <c r="F96" s="15"/>
      <c r="G96" s="16"/>
    </row>
    <row r="97" spans="1:11" ht="15.75">
      <c r="A97" s="88" t="s">
        <v>61</v>
      </c>
      <c r="D97" s="77"/>
      <c r="E97" s="77"/>
      <c r="F97" s="77"/>
      <c r="G97" s="77"/>
      <c r="H97" s="77"/>
      <c r="I97" s="77"/>
      <c r="J97" s="77"/>
      <c r="K97" s="77"/>
    </row>
    <row r="98" spans="1:11" ht="15.75" thickBot="1">
      <c r="C98" s="77"/>
      <c r="D98" s="77"/>
      <c r="E98" s="77"/>
      <c r="F98" s="77"/>
      <c r="G98" s="77"/>
      <c r="H98" s="77"/>
      <c r="I98" s="77"/>
      <c r="J98" s="77"/>
      <c r="K98" s="77"/>
    </row>
    <row r="99" spans="1:11" ht="15.75">
      <c r="C99" s="99" t="s">
        <v>54</v>
      </c>
      <c r="D99" s="100"/>
      <c r="E99" s="100"/>
      <c r="F99" s="100"/>
      <c r="G99" s="100"/>
      <c r="H99" s="100"/>
      <c r="I99" s="100"/>
      <c r="J99" s="101"/>
      <c r="K99" s="89"/>
    </row>
    <row r="100" spans="1:11" ht="15.75">
      <c r="C100" s="34" t="s">
        <v>0</v>
      </c>
      <c r="D100" s="35" t="s">
        <v>28</v>
      </c>
      <c r="E100" s="35" t="s">
        <v>51</v>
      </c>
      <c r="F100" s="35" t="s">
        <v>33</v>
      </c>
      <c r="G100" s="35" t="s">
        <v>34</v>
      </c>
      <c r="H100" s="35" t="s">
        <v>55</v>
      </c>
      <c r="I100" s="71" t="s">
        <v>57</v>
      </c>
      <c r="J100" s="36" t="s">
        <v>56</v>
      </c>
      <c r="K100" s="80" t="s">
        <v>32</v>
      </c>
    </row>
    <row r="101" spans="1:11" ht="16.5" thickBot="1">
      <c r="C101" s="40" t="s">
        <v>14</v>
      </c>
      <c r="D101" s="41" t="s">
        <v>14</v>
      </c>
      <c r="E101" s="41" t="s">
        <v>36</v>
      </c>
      <c r="F101" s="41" t="s">
        <v>36</v>
      </c>
      <c r="G101" s="41" t="s">
        <v>36</v>
      </c>
      <c r="H101" s="41" t="s">
        <v>4</v>
      </c>
      <c r="I101" s="72" t="s">
        <v>36</v>
      </c>
      <c r="J101" s="42" t="s">
        <v>36</v>
      </c>
      <c r="K101" s="81" t="s">
        <v>37</v>
      </c>
    </row>
    <row r="102" spans="1:11" ht="15">
      <c r="C102" s="44">
        <v>7</v>
      </c>
      <c r="D102" s="45">
        <v>10</v>
      </c>
      <c r="E102" s="45">
        <f t="shared" ref="E102:E121" si="3">C102/D102</f>
        <v>0.7</v>
      </c>
      <c r="F102" s="46">
        <f>0.46*(LOG(E102+0.75)^(1.4/E102))</f>
        <v>1.1978230786841156E-2</v>
      </c>
      <c r="G102" s="47">
        <f>TAN(ACOS((1-F102)/(1+F102)))</f>
        <v>0.22154391208341404</v>
      </c>
      <c r="H102" s="67">
        <f>0.44*$B$34*(0.68+0.52*G102)</f>
        <v>52.483387062702775</v>
      </c>
      <c r="I102" s="48">
        <f>H102/$B$34</f>
        <v>0.34988924708468516</v>
      </c>
      <c r="J102" s="49">
        <f>H102/G76</f>
        <v>0.94913532737816064</v>
      </c>
      <c r="K102" s="90">
        <f t="shared" ref="K102:K121" si="4">1-(C102/(C102+E76))^2</f>
        <v>0.80859375</v>
      </c>
    </row>
    <row r="103" spans="1:11" ht="15">
      <c r="C103" s="44">
        <f>C102+1</f>
        <v>8</v>
      </c>
      <c r="D103" s="45">
        <v>10</v>
      </c>
      <c r="E103" s="45">
        <f t="shared" si="3"/>
        <v>0.8</v>
      </c>
      <c r="F103" s="46">
        <f t="shared" ref="F103:F121" si="5">0.46*(LOG(E103+0.75)^(1.4/E103))</f>
        <v>2.5229131243610592E-2</v>
      </c>
      <c r="G103" s="47">
        <f>TAN(ACOS((1-F103)/(1+F103)))</f>
        <v>0.325895678760873</v>
      </c>
      <c r="H103" s="67">
        <f t="shared" ref="H103:H121" si="6">0.44*$B$34*(0.68+0.52*G103)</f>
        <v>56.064739695073165</v>
      </c>
      <c r="I103" s="48">
        <f t="shared" ref="I103:I121" si="7">H103/$B$34</f>
        <v>0.37376493130048777</v>
      </c>
      <c r="J103" s="49">
        <f>H103/G77</f>
        <v>1.1730650889390666</v>
      </c>
      <c r="K103" s="90">
        <f t="shared" si="4"/>
        <v>0.7785467128027681</v>
      </c>
    </row>
    <row r="104" spans="1:11" ht="15">
      <c r="C104" s="44">
        <f t="shared" ref="C104:C121" si="8">C103+1</f>
        <v>9</v>
      </c>
      <c r="D104" s="45">
        <v>10</v>
      </c>
      <c r="E104" s="45">
        <f t="shared" si="3"/>
        <v>0.9</v>
      </c>
      <c r="F104" s="46">
        <f t="shared" si="5"/>
        <v>4.2863638409139662E-2</v>
      </c>
      <c r="G104" s="47">
        <f t="shared" ref="G103:G121" si="9">TAN(ACOS((1-F104)/(1+F104)))</f>
        <v>0.43261412639830016</v>
      </c>
      <c r="H104" s="67">
        <f t="shared" si="6"/>
        <v>59.72731681798966</v>
      </c>
      <c r="I104" s="48">
        <f t="shared" si="7"/>
        <v>0.39818211211993104</v>
      </c>
      <c r="J104" s="49">
        <f t="shared" ref="J103:J121" si="10">H104/G78</f>
        <v>1.4107926308104133</v>
      </c>
      <c r="K104" s="90">
        <f t="shared" si="4"/>
        <v>0.75</v>
      </c>
    </row>
    <row r="105" spans="1:11" ht="15">
      <c r="C105" s="60">
        <f t="shared" si="8"/>
        <v>10</v>
      </c>
      <c r="D105" s="45">
        <v>10</v>
      </c>
      <c r="E105" s="61">
        <f t="shared" si="3"/>
        <v>1</v>
      </c>
      <c r="F105" s="62">
        <f t="shared" si="5"/>
        <v>6.348948571916542E-2</v>
      </c>
      <c r="G105" s="63">
        <f t="shared" si="9"/>
        <v>0.53810650566275986</v>
      </c>
      <c r="H105" s="68">
        <f t="shared" si="6"/>
        <v>63.347815274345926</v>
      </c>
      <c r="I105" s="64">
        <f t="shared" si="7"/>
        <v>0.42231876849563948</v>
      </c>
      <c r="J105" s="65">
        <f t="shared" si="10"/>
        <v>1.6579621378620402</v>
      </c>
      <c r="K105" s="91">
        <f t="shared" si="4"/>
        <v>0.7229916897506925</v>
      </c>
    </row>
    <row r="106" spans="1:11" ht="15">
      <c r="C106" s="44">
        <f t="shared" si="8"/>
        <v>11</v>
      </c>
      <c r="D106" s="45">
        <v>10</v>
      </c>
      <c r="E106" s="45">
        <f t="shared" si="3"/>
        <v>1.1000000000000001</v>
      </c>
      <c r="F106" s="46">
        <f t="shared" si="5"/>
        <v>8.5746907916304696E-2</v>
      </c>
      <c r="G106" s="47">
        <f>TAN(ACOS((1-F106)/(1+F106)))</f>
        <v>0.6405791397074152</v>
      </c>
      <c r="H106" s="67">
        <f t="shared" si="6"/>
        <v>66.864676074758492</v>
      </c>
      <c r="I106" s="48">
        <f t="shared" si="7"/>
        <v>0.44576450716505661</v>
      </c>
      <c r="J106" s="49">
        <f>H106/G80</f>
        <v>1.9110510688411224</v>
      </c>
      <c r="K106" s="90">
        <f t="shared" si="4"/>
        <v>0.69750000000000001</v>
      </c>
    </row>
    <row r="107" spans="1:11" ht="15">
      <c r="C107" s="44">
        <f t="shared" si="8"/>
        <v>12</v>
      </c>
      <c r="D107" s="45">
        <v>10</v>
      </c>
      <c r="E107" s="45">
        <f t="shared" si="3"/>
        <v>1.2</v>
      </c>
      <c r="F107" s="46">
        <f t="shared" si="5"/>
        <v>0.10854653484571854</v>
      </c>
      <c r="G107" s="47">
        <f t="shared" si="9"/>
        <v>0.73916143542177548</v>
      </c>
      <c r="H107" s="67">
        <f t="shared" si="6"/>
        <v>70.248020463675331</v>
      </c>
      <c r="I107" s="48">
        <f t="shared" si="7"/>
        <v>0.46832013642450221</v>
      </c>
      <c r="J107" s="49">
        <f t="shared" si="10"/>
        <v>2.1672457606761171</v>
      </c>
      <c r="K107" s="90">
        <f t="shared" si="4"/>
        <v>0.67346938775510212</v>
      </c>
    </row>
    <row r="108" spans="1:11" ht="15">
      <c r="C108" s="44">
        <f t="shared" si="8"/>
        <v>13</v>
      </c>
      <c r="D108" s="45">
        <v>10</v>
      </c>
      <c r="E108" s="45">
        <f t="shared" si="3"/>
        <v>1.3</v>
      </c>
      <c r="F108" s="46">
        <f t="shared" si="5"/>
        <v>0.13110888436040238</v>
      </c>
      <c r="G108" s="47">
        <f t="shared" si="9"/>
        <v>0.83345220517104768</v>
      </c>
      <c r="H108" s="67">
        <f t="shared" si="6"/>
        <v>73.484079681470362</v>
      </c>
      <c r="I108" s="48">
        <f t="shared" si="7"/>
        <v>0.48989386454313577</v>
      </c>
      <c r="J108" s="49">
        <f t="shared" si="10"/>
        <v>2.4242911228410593</v>
      </c>
      <c r="K108" s="90">
        <f t="shared" si="4"/>
        <v>0.65082644628099162</v>
      </c>
    </row>
    <row r="109" spans="1:11" ht="15">
      <c r="A109" s="4"/>
      <c r="B109" s="4"/>
      <c r="C109" s="44">
        <f t="shared" si="8"/>
        <v>14</v>
      </c>
      <c r="D109" s="45">
        <v>10</v>
      </c>
      <c r="E109" s="45">
        <f t="shared" si="3"/>
        <v>1.4</v>
      </c>
      <c r="F109" s="46">
        <f t="shared" si="5"/>
        <v>0.15292169156117846</v>
      </c>
      <c r="G109" s="47">
        <f t="shared" si="9"/>
        <v>0.9232960586682003</v>
      </c>
      <c r="H109" s="67">
        <f t="shared" si="6"/>
        <v>76.567520733492643</v>
      </c>
      <c r="I109" s="48">
        <f t="shared" si="7"/>
        <v>0.51045013822328433</v>
      </c>
      <c r="J109" s="49">
        <f t="shared" si="10"/>
        <v>2.6803724964465676</v>
      </c>
      <c r="K109" s="90">
        <f t="shared" si="4"/>
        <v>0.62948960302457468</v>
      </c>
    </row>
    <row r="110" spans="1:11" ht="15">
      <c r="C110" s="44">
        <f t="shared" si="8"/>
        <v>15</v>
      </c>
      <c r="D110" s="45">
        <v>10</v>
      </c>
      <c r="E110" s="45">
        <f t="shared" si="3"/>
        <v>1.5</v>
      </c>
      <c r="F110" s="46">
        <f t="shared" si="5"/>
        <v>0.17367651917522037</v>
      </c>
      <c r="G110" s="47">
        <f t="shared" si="9"/>
        <v>1.0086731373923155</v>
      </c>
      <c r="H110" s="67">
        <f t="shared" si="6"/>
        <v>79.497662075304277</v>
      </c>
      <c r="I110" s="48">
        <f t="shared" si="7"/>
        <v>0.52998441383536188</v>
      </c>
      <c r="J110" s="49">
        <f t="shared" si="10"/>
        <v>2.9340300687987266</v>
      </c>
      <c r="K110" s="90">
        <f t="shared" si="4"/>
        <v>0.609375</v>
      </c>
    </row>
    <row r="111" spans="1:11" ht="15">
      <c r="C111" s="50">
        <f t="shared" si="8"/>
        <v>16</v>
      </c>
      <c r="D111" s="45">
        <v>10</v>
      </c>
      <c r="E111" s="45">
        <f t="shared" si="3"/>
        <v>1.6</v>
      </c>
      <c r="F111" s="51">
        <f t="shared" si="5"/>
        <v>0.19320995802962829</v>
      </c>
      <c r="G111" s="52">
        <f t="shared" si="9"/>
        <v>1.089642965716795</v>
      </c>
      <c r="H111" s="69">
        <f t="shared" si="6"/>
        <v>82.276546583400403</v>
      </c>
      <c r="I111" s="48">
        <f t="shared" si="7"/>
        <v>0.54851031055600263</v>
      </c>
      <c r="J111" s="53">
        <f t="shared" si="10"/>
        <v>3.1840961338398337</v>
      </c>
      <c r="K111" s="90">
        <f t="shared" si="4"/>
        <v>0.59040000000000004</v>
      </c>
    </row>
    <row r="112" spans="1:11" ht="15">
      <c r="C112" s="44">
        <f t="shared" si="8"/>
        <v>17</v>
      </c>
      <c r="D112" s="45">
        <v>10</v>
      </c>
      <c r="E112" s="45">
        <f t="shared" si="3"/>
        <v>1.7</v>
      </c>
      <c r="F112" s="46">
        <f t="shared" si="5"/>
        <v>0.21145693683263425</v>
      </c>
      <c r="G112" s="47">
        <f t="shared" si="9"/>
        <v>1.1663141602367433</v>
      </c>
      <c r="H112" s="67">
        <f t="shared" si="6"/>
        <v>84.907901979325032</v>
      </c>
      <c r="I112" s="48">
        <f t="shared" si="7"/>
        <v>0.5660526798621669</v>
      </c>
      <c r="J112" s="49">
        <f t="shared" si="10"/>
        <v>3.4296470266642474</v>
      </c>
      <c r="K112" s="90">
        <f t="shared" si="4"/>
        <v>0.5724852071005917</v>
      </c>
    </row>
    <row r="113" spans="3:11" ht="15">
      <c r="C113" s="44">
        <f t="shared" si="8"/>
        <v>18</v>
      </c>
      <c r="D113" s="45">
        <v>10</v>
      </c>
      <c r="E113" s="45">
        <f t="shared" si="3"/>
        <v>1.8</v>
      </c>
      <c r="F113" s="46">
        <f t="shared" si="5"/>
        <v>0.22841635745551178</v>
      </c>
      <c r="G113" s="47">
        <f t="shared" si="9"/>
        <v>1.23882677809669</v>
      </c>
      <c r="H113" s="67">
        <f t="shared" si="6"/>
        <v>87.396535024278407</v>
      </c>
      <c r="I113" s="48">
        <f t="shared" si="7"/>
        <v>0.5826435668285227</v>
      </c>
      <c r="J113" s="49">
        <f t="shared" si="10"/>
        <v>3.6699645176903668</v>
      </c>
      <c r="K113" s="90">
        <f t="shared" si="4"/>
        <v>0.55555555555555558</v>
      </c>
    </row>
    <row r="114" spans="3:11" ht="15">
      <c r="C114" s="44">
        <f t="shared" si="8"/>
        <v>19</v>
      </c>
      <c r="D114" s="45">
        <v>10</v>
      </c>
      <c r="E114" s="45">
        <f t="shared" si="3"/>
        <v>1.9</v>
      </c>
      <c r="F114" s="46">
        <f t="shared" si="5"/>
        <v>0.24412689922100173</v>
      </c>
      <c r="G114" s="47">
        <f t="shared" si="9"/>
        <v>1.3073411242842254</v>
      </c>
      <c r="H114" s="67">
        <f t="shared" si="6"/>
        <v>89.747947385434614</v>
      </c>
      <c r="I114" s="48">
        <f t="shared" si="7"/>
        <v>0.59831964923623071</v>
      </c>
      <c r="J114" s="49">
        <f t="shared" si="10"/>
        <v>3.904503646019152</v>
      </c>
      <c r="K114" s="90">
        <f t="shared" si="4"/>
        <v>0.5395408163265305</v>
      </c>
    </row>
    <row r="115" spans="3:11" ht="15">
      <c r="C115" s="44">
        <f t="shared" si="8"/>
        <v>20</v>
      </c>
      <c r="D115" s="45">
        <v>10</v>
      </c>
      <c r="E115" s="45">
        <f t="shared" si="3"/>
        <v>2</v>
      </c>
      <c r="F115" s="46">
        <f t="shared" si="5"/>
        <v>0.2586504855605648</v>
      </c>
      <c r="G115" s="47">
        <f t="shared" si="9"/>
        <v>1.3720300939419643</v>
      </c>
      <c r="H115" s="67">
        <f t="shared" si="6"/>
        <v>91.968072824088225</v>
      </c>
      <c r="I115" s="48">
        <f t="shared" si="7"/>
        <v>0.61312048549392151</v>
      </c>
      <c r="J115" s="49">
        <f t="shared" si="10"/>
        <v>4.1328652957007872</v>
      </c>
      <c r="K115" s="90">
        <f t="shared" si="4"/>
        <v>0.52437574316290125</v>
      </c>
    </row>
    <row r="116" spans="3:11" ht="15">
      <c r="C116" s="44">
        <f t="shared" si="8"/>
        <v>21</v>
      </c>
      <c r="D116" s="45">
        <v>10</v>
      </c>
      <c r="E116" s="45">
        <f t="shared" si="3"/>
        <v>2.1</v>
      </c>
      <c r="F116" s="46">
        <f t="shared" si="5"/>
        <v>0.27206125215519839</v>
      </c>
      <c r="G116" s="47">
        <f t="shared" si="9"/>
        <v>1.4330736301043183</v>
      </c>
      <c r="H116" s="67">
        <f t="shared" si="6"/>
        <v>94.06308698518022</v>
      </c>
      <c r="I116" s="48">
        <f t="shared" si="7"/>
        <v>0.62708724656786818</v>
      </c>
      <c r="J116" s="49">
        <f t="shared" si="10"/>
        <v>4.354772545610194</v>
      </c>
      <c r="K116" s="90">
        <f t="shared" si="4"/>
        <v>0.51</v>
      </c>
    </row>
    <row r="117" spans="3:11" ht="15">
      <c r="C117" s="44">
        <f t="shared" si="8"/>
        <v>22</v>
      </c>
      <c r="D117" s="45">
        <v>10</v>
      </c>
      <c r="E117" s="45">
        <f t="shared" si="3"/>
        <v>2.2000000000000002</v>
      </c>
      <c r="F117" s="46">
        <f t="shared" si="5"/>
        <v>0.28443835235494136</v>
      </c>
      <c r="G117" s="47">
        <f t="shared" si="9"/>
        <v>1.4906545752530067</v>
      </c>
      <c r="H117" s="67">
        <f t="shared" si="6"/>
        <v>96.039265022683196</v>
      </c>
      <c r="I117" s="48">
        <f t="shared" si="7"/>
        <v>0.64026176681788793</v>
      </c>
      <c r="J117" s="49">
        <f t="shared" si="10"/>
        <v>4.570050199560904</v>
      </c>
      <c r="K117" s="90">
        <f t="shared" si="4"/>
        <v>0.4963579604578563</v>
      </c>
    </row>
    <row r="118" spans="3:11" ht="15">
      <c r="C118" s="44">
        <f t="shared" si="8"/>
        <v>23</v>
      </c>
      <c r="D118" s="45">
        <v>10</v>
      </c>
      <c r="E118" s="45">
        <f t="shared" si="3"/>
        <v>2.2999999999999998</v>
      </c>
      <c r="F118" s="46">
        <f t="shared" si="5"/>
        <v>0.29586138800215694</v>
      </c>
      <c r="G118" s="47">
        <f t="shared" si="9"/>
        <v>1.544955522123149</v>
      </c>
      <c r="H118" s="67">
        <f t="shared" si="6"/>
        <v>97.902873519266478</v>
      </c>
      <c r="I118" s="48">
        <f t="shared" si="7"/>
        <v>0.6526858234617765</v>
      </c>
      <c r="J118" s="49">
        <f t="shared" si="10"/>
        <v>4.7786070893133914</v>
      </c>
      <c r="K118" s="90">
        <f t="shared" si="4"/>
        <v>0.4833984375</v>
      </c>
    </row>
    <row r="119" spans="3:11" ht="15">
      <c r="C119" s="44">
        <f t="shared" si="8"/>
        <v>24</v>
      </c>
      <c r="D119" s="45">
        <v>10</v>
      </c>
      <c r="E119" s="45">
        <f t="shared" si="3"/>
        <v>2.4</v>
      </c>
      <c r="F119" s="46">
        <f t="shared" si="5"/>
        <v>0.30640761053675836</v>
      </c>
      <c r="G119" s="47">
        <f t="shared" si="9"/>
        <v>1.5961564255523955</v>
      </c>
      <c r="H119" s="67">
        <f t="shared" si="6"/>
        <v>99.660088524958212</v>
      </c>
      <c r="I119" s="48">
        <f t="shared" si="7"/>
        <v>0.66440059016638808</v>
      </c>
      <c r="J119" s="49">
        <f t="shared" si="10"/>
        <v>4.9804208329408217</v>
      </c>
      <c r="K119" s="90">
        <f t="shared" si="4"/>
        <v>0.47107438016528924</v>
      </c>
    </row>
    <row r="120" spans="3:11" ht="15">
      <c r="C120" s="44">
        <f t="shared" si="8"/>
        <v>25</v>
      </c>
      <c r="D120" s="45">
        <v>10</v>
      </c>
      <c r="E120" s="45">
        <f t="shared" si="3"/>
        <v>2.5</v>
      </c>
      <c r="F120" s="46">
        <f t="shared" si="5"/>
        <v>0.3161503004399337</v>
      </c>
      <c r="G120" s="47">
        <f t="shared" si="9"/>
        <v>1.6444328150269032</v>
      </c>
      <c r="H120" s="67">
        <f t="shared" si="6"/>
        <v>101.31693421172332</v>
      </c>
      <c r="I120" s="48">
        <f t="shared" si="7"/>
        <v>0.67544622807815546</v>
      </c>
      <c r="J120" s="49">
        <f t="shared" si="10"/>
        <v>5.175524775459782</v>
      </c>
      <c r="K120" s="90">
        <f t="shared" si="4"/>
        <v>0.45934256055363309</v>
      </c>
    </row>
    <row r="121" spans="3:11" ht="15.75" thickBot="1">
      <c r="C121" s="54">
        <f t="shared" si="8"/>
        <v>26</v>
      </c>
      <c r="D121" s="55">
        <v>10</v>
      </c>
      <c r="E121" s="55">
        <f t="shared" si="3"/>
        <v>2.6</v>
      </c>
      <c r="F121" s="56">
        <f t="shared" si="5"/>
        <v>0.32515792035316399</v>
      </c>
      <c r="G121" s="57">
        <f t="shared" si="9"/>
        <v>1.6899544893198972</v>
      </c>
      <c r="H121" s="70">
        <f t="shared" si="6"/>
        <v>102.87923807345888</v>
      </c>
      <c r="I121" s="58">
        <f t="shared" si="7"/>
        <v>0.68586158715639256</v>
      </c>
      <c r="J121" s="59">
        <f t="shared" si="10"/>
        <v>5.3639968637803843</v>
      </c>
      <c r="K121" s="92">
        <f t="shared" si="4"/>
        <v>0.44816326530612238</v>
      </c>
    </row>
    <row r="123" spans="3:11">
      <c r="C123" s="73"/>
      <c r="I123" s="73"/>
    </row>
    <row r="124" spans="3:11" ht="15">
      <c r="C124" s="74"/>
      <c r="D124" s="39"/>
      <c r="E124" s="74"/>
    </row>
    <row r="125" spans="3:11" ht="15">
      <c r="C125" s="74"/>
      <c r="D125" s="39"/>
      <c r="E125" s="74"/>
    </row>
    <row r="126" spans="3:11" ht="15">
      <c r="C126" s="74"/>
      <c r="D126" s="75"/>
      <c r="E126" s="74"/>
    </row>
    <row r="127" spans="3:11" ht="15">
      <c r="C127" s="74"/>
      <c r="D127" s="75"/>
      <c r="E127" s="74"/>
    </row>
    <row r="128" spans="3:11" ht="15">
      <c r="C128" s="74"/>
      <c r="D128" s="76"/>
      <c r="E128" s="74"/>
    </row>
    <row r="129" spans="3:5" ht="15">
      <c r="C129" s="74"/>
      <c r="D129" s="76"/>
      <c r="E129" s="74"/>
    </row>
  </sheetData>
  <mergeCells count="4">
    <mergeCell ref="A53:D53"/>
    <mergeCell ref="A41:D41"/>
    <mergeCell ref="A33:D33"/>
    <mergeCell ref="C99:J99"/>
  </mergeCells>
  <phoneticPr fontId="2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Equation.3" shapeId="2057" r:id="rId4"/>
    <oleObject shapeId="2058" r:id="rId5"/>
    <oleObject progId="Equation.3" shapeId="2066" r:id="rId6"/>
    <oleObject shapeId="2067" r:id="rId7"/>
    <oleObject progId="Equation.3" shapeId="2073" r:id="rId8"/>
    <oleObject shapeId="2080" r:id="rId9"/>
    <oleObject shapeId="2110" r:id="rId10"/>
    <oleObject shapeId="2111" r:id="rId11"/>
    <oleObject shapeId="2113" r:id="rId12"/>
    <oleObject progId="Equation.3" shapeId="2303" r:id="rId13"/>
    <oleObject progId="Equation.3" shapeId="2305" r:id="rId14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4:H41"/>
  <sheetViews>
    <sheetView topLeftCell="A13" workbookViewId="0">
      <selection activeCell="H22" sqref="H22"/>
    </sheetView>
  </sheetViews>
  <sheetFormatPr baseColWidth="10" defaultRowHeight="12.75"/>
  <cols>
    <col min="4" max="4" width="15.42578125" customWidth="1"/>
  </cols>
  <sheetData>
    <row r="4" spans="1:4">
      <c r="B4">
        <f>4^-0.7</f>
        <v>0.37892914162759955</v>
      </c>
    </row>
    <row r="5" spans="1:4">
      <c r="B5">
        <f>10^0.5</f>
        <v>3.1622776601683795</v>
      </c>
      <c r="C5">
        <f>B5*B4</f>
        <v>1.198279159355738</v>
      </c>
    </row>
    <row r="6" spans="1:4">
      <c r="C6">
        <f>C5*10.44</f>
        <v>12.510034423673904</v>
      </c>
    </row>
    <row r="8" spans="1:4">
      <c r="B8">
        <v>23</v>
      </c>
    </row>
    <row r="9" spans="1:4">
      <c r="B9">
        <v>300</v>
      </c>
    </row>
    <row r="10" spans="1:4">
      <c r="B10">
        <f>B9*B8</f>
        <v>6900</v>
      </c>
      <c r="C10">
        <f>B10/1000</f>
        <v>6.9</v>
      </c>
      <c r="D10" t="s">
        <v>4</v>
      </c>
    </row>
    <row r="11" spans="1:4">
      <c r="A11" t="s">
        <v>0</v>
      </c>
      <c r="B11">
        <v>10</v>
      </c>
    </row>
    <row r="12" spans="1:4">
      <c r="A12" t="s">
        <v>1</v>
      </c>
      <c r="B12">
        <v>4.2</v>
      </c>
    </row>
    <row r="13" spans="1:4">
      <c r="B13">
        <f>((B11+B12)/B11)^2</f>
        <v>2.0164</v>
      </c>
    </row>
    <row r="14" spans="1:4">
      <c r="B14">
        <f>B13*B10/1000</f>
        <v>13.91316</v>
      </c>
      <c r="C14" s="1">
        <f>C6/B14</f>
        <v>0.89915119381031372</v>
      </c>
    </row>
    <row r="16" spans="1:4">
      <c r="B16">
        <f>1.6/10.44</f>
        <v>0.15325670498084293</v>
      </c>
    </row>
    <row r="17" spans="1:8">
      <c r="B17">
        <f>B16/B4</f>
        <v>0.40444686920241968</v>
      </c>
    </row>
    <row r="19" spans="1:8">
      <c r="A19" t="s">
        <v>2</v>
      </c>
      <c r="B19" t="s">
        <v>0</v>
      </c>
      <c r="C19" t="s">
        <v>1</v>
      </c>
      <c r="D19" t="s">
        <v>18</v>
      </c>
      <c r="E19" t="s">
        <v>3</v>
      </c>
      <c r="F19" t="s">
        <v>5</v>
      </c>
      <c r="H19" t="s">
        <v>6</v>
      </c>
    </row>
    <row r="20" spans="1:8">
      <c r="A20">
        <v>4</v>
      </c>
      <c r="B20">
        <v>2</v>
      </c>
      <c r="C20">
        <v>4</v>
      </c>
      <c r="D20">
        <f>10.44*(A20^-0.7)*(B20^0.5)</f>
        <v>5.5946574744394511</v>
      </c>
      <c r="E20" s="2">
        <f>((B20+C20)/B20)^2</f>
        <v>9</v>
      </c>
      <c r="F20">
        <f>E20*$C$10</f>
        <v>62.1</v>
      </c>
      <c r="G20" s="3">
        <f>D20/F20</f>
        <v>9.0091102647978274E-2</v>
      </c>
      <c r="H20" s="3">
        <f>C20/(C20+B20)</f>
        <v>0.66666666666666663</v>
      </c>
    </row>
    <row r="21" spans="1:8">
      <c r="A21">
        <v>4</v>
      </c>
      <c r="B21">
        <f>B20+1</f>
        <v>3</v>
      </c>
      <c r="C21">
        <v>4</v>
      </c>
      <c r="D21">
        <f>10.44*(A21^-0.7)*(B21^0.5)</f>
        <v>6.8520280490123362</v>
      </c>
      <c r="E21" s="2">
        <f t="shared" ref="E21:E33" si="0">((B21+C21)/B21)^2</f>
        <v>5.4444444444444455</v>
      </c>
      <c r="F21">
        <f t="shared" ref="F21:F41" si="1">E21*$C$10</f>
        <v>37.566666666666677</v>
      </c>
      <c r="G21" s="3">
        <f t="shared" ref="G21:G33" si="2">D21/F21</f>
        <v>0.18239648755134874</v>
      </c>
      <c r="H21" s="3">
        <f t="shared" ref="H21:H41" si="3">C21/(C21+B21)</f>
        <v>0.5714285714285714</v>
      </c>
    </row>
    <row r="22" spans="1:8">
      <c r="A22">
        <v>4</v>
      </c>
      <c r="B22">
        <f t="shared" ref="B22:B33" si="4">B21+1</f>
        <v>4</v>
      </c>
      <c r="C22">
        <v>4</v>
      </c>
      <c r="D22">
        <f t="shared" ref="D22:D35" si="5">10.44*(A22^-0.7)*(B22^0.5)</f>
        <v>7.9120404771842781</v>
      </c>
      <c r="E22" s="2">
        <f t="shared" si="0"/>
        <v>4</v>
      </c>
      <c r="F22">
        <f t="shared" si="1"/>
        <v>27.6</v>
      </c>
      <c r="G22" s="3">
        <f t="shared" si="2"/>
        <v>0.2866681332313144</v>
      </c>
      <c r="H22" s="3">
        <f t="shared" si="3"/>
        <v>0.5</v>
      </c>
    </row>
    <row r="23" spans="1:8">
      <c r="A23">
        <v>4</v>
      </c>
      <c r="B23">
        <f t="shared" si="4"/>
        <v>5</v>
      </c>
      <c r="C23">
        <v>4</v>
      </c>
      <c r="D23">
        <f t="shared" si="5"/>
        <v>8.84593017385696</v>
      </c>
      <c r="E23" s="2">
        <f t="shared" si="0"/>
        <v>3.24</v>
      </c>
      <c r="F23">
        <f t="shared" si="1"/>
        <v>22.356000000000002</v>
      </c>
      <c r="G23" s="3">
        <f t="shared" si="2"/>
        <v>0.39568483511616387</v>
      </c>
      <c r="H23" s="3">
        <f t="shared" si="3"/>
        <v>0.44444444444444442</v>
      </c>
    </row>
    <row r="24" spans="1:8">
      <c r="A24">
        <v>4</v>
      </c>
      <c r="B24">
        <f t="shared" si="4"/>
        <v>6</v>
      </c>
      <c r="C24">
        <v>4</v>
      </c>
      <c r="D24">
        <f t="shared" si="5"/>
        <v>9.6902309966741047</v>
      </c>
      <c r="E24" s="2">
        <f t="shared" si="0"/>
        <v>2.7777777777777781</v>
      </c>
      <c r="F24">
        <f t="shared" si="1"/>
        <v>19.166666666666671</v>
      </c>
      <c r="G24" s="3">
        <f t="shared" si="2"/>
        <v>0.50557726939169234</v>
      </c>
      <c r="H24" s="3">
        <f t="shared" si="3"/>
        <v>0.4</v>
      </c>
    </row>
    <row r="25" spans="1:8">
      <c r="A25">
        <v>4</v>
      </c>
      <c r="B25">
        <f t="shared" si="4"/>
        <v>7</v>
      </c>
      <c r="C25">
        <v>4</v>
      </c>
      <c r="D25">
        <f t="shared" si="5"/>
        <v>10.466645732853207</v>
      </c>
      <c r="E25" s="2">
        <f t="shared" si="0"/>
        <v>2.4693877551020407</v>
      </c>
      <c r="F25">
        <f t="shared" si="1"/>
        <v>17.038775510204083</v>
      </c>
      <c r="G25" s="3">
        <f t="shared" si="2"/>
        <v>0.6142839153309464</v>
      </c>
      <c r="H25" s="3">
        <f t="shared" si="3"/>
        <v>0.36363636363636365</v>
      </c>
    </row>
    <row r="26" spans="1:8">
      <c r="A26">
        <v>4</v>
      </c>
      <c r="B26">
        <f t="shared" si="4"/>
        <v>8</v>
      </c>
      <c r="C26">
        <v>4</v>
      </c>
      <c r="D26">
        <f t="shared" si="5"/>
        <v>11.189314948878902</v>
      </c>
      <c r="E26" s="2">
        <f t="shared" si="0"/>
        <v>2.25</v>
      </c>
      <c r="F26">
        <f t="shared" si="1"/>
        <v>15.525</v>
      </c>
      <c r="G26" s="3">
        <f t="shared" si="2"/>
        <v>0.7207288211838262</v>
      </c>
      <c r="H26" s="3">
        <f t="shared" si="3"/>
        <v>0.33333333333333331</v>
      </c>
    </row>
    <row r="27" spans="1:8">
      <c r="A27">
        <v>4</v>
      </c>
      <c r="B27">
        <f t="shared" si="4"/>
        <v>9</v>
      </c>
      <c r="C27">
        <v>4</v>
      </c>
      <c r="D27">
        <f t="shared" si="5"/>
        <v>11.868060715776418</v>
      </c>
      <c r="E27" s="2">
        <f t="shared" si="0"/>
        <v>2.0864197530864197</v>
      </c>
      <c r="F27">
        <f t="shared" si="1"/>
        <v>14.396296296296297</v>
      </c>
      <c r="G27" s="3">
        <f t="shared" si="2"/>
        <v>0.82438291568295152</v>
      </c>
      <c r="H27" s="3">
        <f t="shared" si="3"/>
        <v>0.30769230769230771</v>
      </c>
    </row>
    <row r="28" spans="1:8">
      <c r="A28">
        <v>4</v>
      </c>
      <c r="B28">
        <f>B27+1</f>
        <v>10</v>
      </c>
      <c r="C28">
        <v>4</v>
      </c>
      <c r="D28">
        <f t="shared" si="5"/>
        <v>12.510034423673904</v>
      </c>
      <c r="E28" s="2">
        <f t="shared" si="0"/>
        <v>1.9599999999999997</v>
      </c>
      <c r="F28">
        <f t="shared" si="1"/>
        <v>13.523999999999999</v>
      </c>
      <c r="G28" s="3">
        <f t="shared" si="2"/>
        <v>0.92502472816281467</v>
      </c>
      <c r="H28" s="3">
        <f t="shared" si="3"/>
        <v>0.2857142857142857</v>
      </c>
    </row>
    <row r="29" spans="1:8">
      <c r="A29">
        <v>4</v>
      </c>
      <c r="B29">
        <f t="shared" si="4"/>
        <v>11</v>
      </c>
      <c r="C29">
        <v>4</v>
      </c>
      <c r="D29">
        <f t="shared" si="5"/>
        <v>13.120634794462372</v>
      </c>
      <c r="E29" s="2">
        <f t="shared" si="0"/>
        <v>1.8595041322314048</v>
      </c>
      <c r="F29">
        <f t="shared" si="1"/>
        <v>12.830578512396693</v>
      </c>
      <c r="G29" s="3">
        <f t="shared" si="2"/>
        <v>1.0226066409854733</v>
      </c>
      <c r="H29" s="3">
        <f t="shared" si="3"/>
        <v>0.26666666666666666</v>
      </c>
    </row>
    <row r="30" spans="1:8">
      <c r="A30">
        <v>4</v>
      </c>
      <c r="B30">
        <f t="shared" si="4"/>
        <v>12</v>
      </c>
      <c r="C30">
        <v>4</v>
      </c>
      <c r="D30">
        <f t="shared" si="5"/>
        <v>13.704056098024672</v>
      </c>
      <c r="E30" s="2">
        <f t="shared" si="0"/>
        <v>1.7777777777777777</v>
      </c>
      <c r="F30">
        <f t="shared" si="1"/>
        <v>12.266666666666667</v>
      </c>
      <c r="G30" s="3">
        <f t="shared" si="2"/>
        <v>1.1171784862520113</v>
      </c>
      <c r="H30" s="3">
        <f t="shared" si="3"/>
        <v>0.25</v>
      </c>
    </row>
    <row r="31" spans="1:8">
      <c r="A31">
        <v>4</v>
      </c>
      <c r="B31">
        <f t="shared" si="4"/>
        <v>13</v>
      </c>
      <c r="C31">
        <v>4</v>
      </c>
      <c r="D31">
        <f t="shared" si="5"/>
        <v>14.263633817017242</v>
      </c>
      <c r="E31" s="2">
        <f t="shared" si="0"/>
        <v>1.7100591715976332</v>
      </c>
      <c r="F31">
        <f t="shared" si="1"/>
        <v>11.79940828402367</v>
      </c>
      <c r="G31" s="3">
        <f t="shared" si="2"/>
        <v>1.2088431448151615</v>
      </c>
      <c r="H31" s="3">
        <f t="shared" si="3"/>
        <v>0.23529411764705882</v>
      </c>
    </row>
    <row r="32" spans="1:8">
      <c r="A32">
        <v>4</v>
      </c>
      <c r="B32">
        <f t="shared" si="4"/>
        <v>14</v>
      </c>
      <c r="C32">
        <v>4</v>
      </c>
      <c r="D32">
        <f t="shared" si="5"/>
        <v>14.802072347955487</v>
      </c>
      <c r="E32" s="2">
        <f t="shared" si="0"/>
        <v>1.6530612244897962</v>
      </c>
      <c r="F32">
        <f t="shared" si="1"/>
        <v>11.406122448979595</v>
      </c>
      <c r="G32" s="3">
        <f t="shared" si="2"/>
        <v>1.29773044381789</v>
      </c>
      <c r="H32" s="3">
        <f t="shared" si="3"/>
        <v>0.22222222222222221</v>
      </c>
    </row>
    <row r="33" spans="1:8">
      <c r="A33">
        <v>4</v>
      </c>
      <c r="B33">
        <f t="shared" si="4"/>
        <v>15</v>
      </c>
      <c r="C33">
        <v>4</v>
      </c>
      <c r="D33">
        <f t="shared" si="5"/>
        <v>15.321600501326847</v>
      </c>
      <c r="E33" s="2">
        <f t="shared" si="0"/>
        <v>1.6044444444444443</v>
      </c>
      <c r="F33">
        <f t="shared" si="1"/>
        <v>11.070666666666666</v>
      </c>
      <c r="G33" s="3">
        <f t="shared" si="2"/>
        <v>1.3839817386480953</v>
      </c>
      <c r="H33" s="3">
        <f t="shared" si="3"/>
        <v>0.21052631578947367</v>
      </c>
    </row>
    <row r="34" spans="1:8">
      <c r="A34">
        <v>4</v>
      </c>
      <c r="B34">
        <f t="shared" ref="B34:B41" si="6">B33+1</f>
        <v>16</v>
      </c>
      <c r="C34">
        <v>4</v>
      </c>
      <c r="D34">
        <f t="shared" si="5"/>
        <v>15.824080954368556</v>
      </c>
      <c r="E34" s="2">
        <f t="shared" ref="E34:E41" si="7">((B34+C34)/B34)^2</f>
        <v>1.5625</v>
      </c>
      <c r="F34">
        <f t="shared" si="1"/>
        <v>10.78125</v>
      </c>
      <c r="G34" s="3">
        <f>D34/F34</f>
        <v>1.4677408421443299</v>
      </c>
      <c r="H34" s="3">
        <f t="shared" si="3"/>
        <v>0.2</v>
      </c>
    </row>
    <row r="35" spans="1:8">
      <c r="A35">
        <v>4</v>
      </c>
      <c r="B35">
        <f t="shared" si="6"/>
        <v>17</v>
      </c>
      <c r="C35">
        <v>4</v>
      </c>
      <c r="D35">
        <f t="shared" si="5"/>
        <v>16.311089300796567</v>
      </c>
      <c r="E35" s="2">
        <f t="shared" si="7"/>
        <v>1.5259515570934257</v>
      </c>
      <c r="F35">
        <f t="shared" si="1"/>
        <v>10.529065743944638</v>
      </c>
      <c r="G35" s="3">
        <f t="shared" ref="G35:G41" si="8">D35/F35</f>
        <v>1.5491487751586339</v>
      </c>
      <c r="H35" s="3">
        <f t="shared" si="3"/>
        <v>0.19047619047619047</v>
      </c>
    </row>
    <row r="36" spans="1:8">
      <c r="A36">
        <v>4</v>
      </c>
      <c r="B36">
        <f t="shared" si="6"/>
        <v>18</v>
      </c>
      <c r="C36">
        <v>4</v>
      </c>
      <c r="D36">
        <f t="shared" ref="D36:D41" si="9">10.44*(A36^-0.7)*(B36^0.5)</f>
        <v>16.78397242331835</v>
      </c>
      <c r="E36" s="2">
        <f t="shared" si="7"/>
        <v>1.4938271604938274</v>
      </c>
      <c r="F36">
        <f t="shared" si="1"/>
        <v>10.307407407407409</v>
      </c>
      <c r="G36" s="3">
        <f t="shared" si="8"/>
        <v>1.6283408387696565</v>
      </c>
      <c r="H36" s="3">
        <f t="shared" si="3"/>
        <v>0.18181818181818182</v>
      </c>
    </row>
    <row r="37" spans="1:8">
      <c r="A37">
        <v>4</v>
      </c>
      <c r="B37">
        <f t="shared" si="6"/>
        <v>19</v>
      </c>
      <c r="C37">
        <v>4</v>
      </c>
      <c r="D37">
        <f t="shared" si="9"/>
        <v>17.243892438624801</v>
      </c>
      <c r="E37" s="2">
        <f t="shared" si="7"/>
        <v>1.4653739612188366</v>
      </c>
      <c r="F37">
        <f t="shared" si="1"/>
        <v>10.111080332409973</v>
      </c>
      <c r="G37" s="3">
        <f t="shared" si="8"/>
        <v>1.7054451029680153</v>
      </c>
      <c r="H37" s="3">
        <f t="shared" si="3"/>
        <v>0.17391304347826086</v>
      </c>
    </row>
    <row r="38" spans="1:8">
      <c r="A38">
        <v>4</v>
      </c>
      <c r="B38">
        <f t="shared" si="6"/>
        <v>20</v>
      </c>
      <c r="C38">
        <v>4</v>
      </c>
      <c r="D38">
        <f t="shared" si="9"/>
        <v>17.69186034771392</v>
      </c>
      <c r="E38" s="2">
        <f t="shared" si="7"/>
        <v>1.44</v>
      </c>
      <c r="F38">
        <f t="shared" si="1"/>
        <v>9.9359999999999999</v>
      </c>
      <c r="G38" s="3">
        <f t="shared" si="8"/>
        <v>1.7805817580227374</v>
      </c>
      <c r="H38" s="3">
        <f t="shared" si="3"/>
        <v>0.16666666666666666</v>
      </c>
    </row>
    <row r="39" spans="1:8">
      <c r="A39">
        <v>4</v>
      </c>
      <c r="B39">
        <f t="shared" si="6"/>
        <v>21</v>
      </c>
      <c r="C39">
        <v>4</v>
      </c>
      <c r="D39">
        <f t="shared" si="9"/>
        <v>18.128762194125738</v>
      </c>
      <c r="E39" s="2">
        <f t="shared" si="7"/>
        <v>1.4172335600907029</v>
      </c>
      <c r="F39">
        <f t="shared" si="1"/>
        <v>9.7789115646258509</v>
      </c>
      <c r="G39" s="3">
        <f t="shared" si="8"/>
        <v>1.8538629861123361</v>
      </c>
      <c r="H39" s="3">
        <f t="shared" si="3"/>
        <v>0.16</v>
      </c>
    </row>
    <row r="40" spans="1:8">
      <c r="A40">
        <v>4</v>
      </c>
      <c r="B40">
        <f t="shared" si="6"/>
        <v>22</v>
      </c>
      <c r="C40">
        <v>4</v>
      </c>
      <c r="D40">
        <f t="shared" si="9"/>
        <v>18.555379673273013</v>
      </c>
      <c r="E40" s="2">
        <f t="shared" si="7"/>
        <v>1.3966942148760333</v>
      </c>
      <c r="F40">
        <f t="shared" si="1"/>
        <v>9.6371900826446311</v>
      </c>
      <c r="G40" s="3">
        <f t="shared" si="8"/>
        <v>1.9253931399245638</v>
      </c>
      <c r="H40" s="3">
        <f t="shared" si="3"/>
        <v>0.15384615384615385</v>
      </c>
    </row>
    <row r="41" spans="1:8">
      <c r="A41">
        <v>4</v>
      </c>
      <c r="B41">
        <f t="shared" si="6"/>
        <v>23</v>
      </c>
      <c r="C41">
        <v>4</v>
      </c>
      <c r="D41">
        <f t="shared" si="9"/>
        <v>18.972406567103285</v>
      </c>
      <c r="E41" s="2">
        <f t="shared" si="7"/>
        <v>1.3780718336483935</v>
      </c>
      <c r="F41">
        <f t="shared" si="1"/>
        <v>9.5086956521739161</v>
      </c>
      <c r="G41" s="3">
        <f t="shared" si="8"/>
        <v>1.9952690948485388</v>
      </c>
      <c r="H41" s="3">
        <f t="shared" si="3"/>
        <v>0.14814814814814814</v>
      </c>
    </row>
  </sheetData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Metodo Area Tributaria</vt:lpstr>
      <vt:lpstr>Resistencia Pilares Metodos</vt:lpstr>
      <vt:lpstr>Hoja1</vt:lpstr>
    </vt:vector>
  </TitlesOfParts>
  <Company>FCFM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Castro</dc:creator>
  <cp:lastModifiedBy>Usuario</cp:lastModifiedBy>
  <dcterms:created xsi:type="dcterms:W3CDTF">2007-06-28T14:20:50Z</dcterms:created>
  <dcterms:modified xsi:type="dcterms:W3CDTF">2011-10-22T03:14:45Z</dcterms:modified>
</cp:coreProperties>
</file>